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us0565-pbfss01\shared_projects\177312017\studies\universal\regression_analysis\"/>
    </mc:Choice>
  </mc:AlternateContent>
  <xr:revisionPtr revIDLastSave="0" documentId="13_ncr:1_{5B18C512-025A-4D06-B80E-AD8D3B8470A0}" xr6:coauthVersionLast="47" xr6:coauthVersionMax="47" xr10:uidLastSave="{00000000-0000-0000-0000-000000000000}"/>
  <bookViews>
    <workbookView xWindow="-120" yWindow="-120" windowWidth="29040" windowHeight="15840" xr2:uid="{5A9AE053-14A8-4BE1-A7FC-835FC78EC4AE}"/>
  </bookViews>
  <sheets>
    <sheet name="07227420" sheetId="4" r:id="rId1"/>
    <sheet name="07227890" sheetId="8" r:id="rId2"/>
    <sheet name="07235000" sheetId="1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4" l="1"/>
  <c r="H24" i="4"/>
  <c r="H23" i="4"/>
  <c r="H22" i="4"/>
  <c r="H21" i="4"/>
  <c r="H20" i="4"/>
  <c r="H19" i="4"/>
  <c r="H18" i="4"/>
  <c r="H17" i="4"/>
  <c r="I25" i="14"/>
  <c r="I24" i="14"/>
  <c r="I23" i="14"/>
  <c r="I22" i="14"/>
  <c r="I21" i="14"/>
  <c r="I20" i="14"/>
  <c r="I19" i="14"/>
  <c r="I18" i="14"/>
  <c r="I17" i="14"/>
  <c r="H25" i="14"/>
  <c r="H24" i="14"/>
  <c r="H23" i="14"/>
  <c r="H22" i="14"/>
  <c r="H21" i="14"/>
  <c r="H20" i="14"/>
  <c r="H19" i="14"/>
  <c r="H18" i="14"/>
  <c r="H17" i="14"/>
  <c r="F25" i="8"/>
  <c r="F24" i="8"/>
  <c r="F23" i="8"/>
  <c r="F22" i="8"/>
  <c r="F21" i="8"/>
  <c r="F20" i="8"/>
  <c r="F19" i="8"/>
  <c r="F18" i="8"/>
  <c r="F17" i="8"/>
  <c r="G7" i="14" l="1"/>
  <c r="F7" i="14"/>
  <c r="E7" i="14"/>
  <c r="D7" i="14"/>
  <c r="D8" i="14" s="1"/>
  <c r="D19" i="14" s="1"/>
  <c r="C7" i="14"/>
  <c r="C8" i="14" s="1"/>
  <c r="C17" i="14" s="1"/>
  <c r="E7" i="8"/>
  <c r="E8" i="8" s="1"/>
  <c r="E25" i="8" s="1"/>
  <c r="D7" i="8"/>
  <c r="D8" i="8" s="1"/>
  <c r="D25" i="8" s="1"/>
  <c r="F7" i="4"/>
  <c r="F8" i="4" s="1"/>
  <c r="E7" i="4"/>
  <c r="E8" i="4" s="1"/>
  <c r="D7" i="4"/>
  <c r="D8" i="4" s="1"/>
  <c r="C7" i="4"/>
  <c r="AC21" i="14"/>
  <c r="AB21" i="14"/>
  <c r="AA21" i="14"/>
  <c r="Z21" i="14"/>
  <c r="Y21" i="14"/>
  <c r="X21" i="14"/>
  <c r="AC20" i="14"/>
  <c r="AB20" i="14"/>
  <c r="AA20" i="14"/>
  <c r="Z20" i="14"/>
  <c r="Y20" i="14"/>
  <c r="X20" i="14"/>
  <c r="AC19" i="14"/>
  <c r="AB19" i="14"/>
  <c r="AA19" i="14"/>
  <c r="Z19" i="14"/>
  <c r="Y19" i="14"/>
  <c r="X19" i="14"/>
  <c r="AC18" i="14"/>
  <c r="AB18" i="14"/>
  <c r="AA18" i="14"/>
  <c r="Z18" i="14"/>
  <c r="Y18" i="14"/>
  <c r="X18" i="14"/>
  <c r="AC17" i="14"/>
  <c r="AB17" i="14"/>
  <c r="AA17" i="14"/>
  <c r="Z17" i="14"/>
  <c r="Y17" i="14"/>
  <c r="X17" i="14"/>
  <c r="AC16" i="14"/>
  <c r="AB16" i="14"/>
  <c r="AA16" i="14"/>
  <c r="Z16" i="14"/>
  <c r="Y16" i="14"/>
  <c r="X16" i="14"/>
  <c r="AC15" i="14"/>
  <c r="AB15" i="14"/>
  <c r="AA15" i="14"/>
  <c r="Z15" i="14"/>
  <c r="Y15" i="14"/>
  <c r="X15" i="14"/>
  <c r="AC14" i="14"/>
  <c r="AB14" i="14"/>
  <c r="AA14" i="14"/>
  <c r="Z14" i="14"/>
  <c r="Y14" i="14"/>
  <c r="X14" i="14"/>
  <c r="AC13" i="14"/>
  <c r="AB13" i="14"/>
  <c r="AA13" i="14"/>
  <c r="Z13" i="14"/>
  <c r="Y13" i="14"/>
  <c r="X13" i="14"/>
  <c r="X9" i="14"/>
  <c r="W9" i="14"/>
  <c r="V9" i="14"/>
  <c r="U9" i="14"/>
  <c r="T9" i="14"/>
  <c r="X8" i="14"/>
  <c r="W8" i="14"/>
  <c r="V8" i="14"/>
  <c r="U8" i="14"/>
  <c r="T8" i="14"/>
  <c r="X7" i="14"/>
  <c r="W7" i="14"/>
  <c r="V7" i="14"/>
  <c r="U7" i="14"/>
  <c r="T7" i="14"/>
  <c r="E24" i="4" l="1"/>
  <c r="E23" i="4"/>
  <c r="E22" i="4"/>
  <c r="E21" i="4"/>
  <c r="E20" i="4"/>
  <c r="E19" i="4"/>
  <c r="E18" i="4"/>
  <c r="E17" i="4"/>
  <c r="E25" i="4"/>
  <c r="D21" i="4"/>
  <c r="D25" i="4"/>
  <c r="D24" i="4"/>
  <c r="D23" i="4"/>
  <c r="D20" i="4"/>
  <c r="D19" i="4"/>
  <c r="D18" i="4"/>
  <c r="D17" i="4"/>
  <c r="D22" i="4"/>
  <c r="F25" i="4"/>
  <c r="F24" i="4"/>
  <c r="F18" i="4"/>
  <c r="F23" i="4"/>
  <c r="F22" i="4"/>
  <c r="F21" i="4"/>
  <c r="F20" i="4"/>
  <c r="F19" i="4"/>
  <c r="F17" i="4"/>
  <c r="F8" i="14"/>
  <c r="F19" i="14" s="1"/>
  <c r="F24" i="14"/>
  <c r="F21" i="14"/>
  <c r="F18" i="14"/>
  <c r="D17" i="14"/>
  <c r="D24" i="14"/>
  <c r="D21" i="14"/>
  <c r="D32" i="14" s="1"/>
  <c r="D18" i="14"/>
  <c r="F23" i="14"/>
  <c r="F20" i="14"/>
  <c r="F17" i="14"/>
  <c r="D23" i="14"/>
  <c r="D20" i="14"/>
  <c r="F25" i="14"/>
  <c r="F34" i="14" s="1"/>
  <c r="F22" i="14"/>
  <c r="F33" i="14" s="1"/>
  <c r="D25" i="14"/>
  <c r="D22" i="14"/>
  <c r="D33" i="14" s="1"/>
  <c r="E17" i="8"/>
  <c r="D17" i="8"/>
  <c r="E20" i="8"/>
  <c r="D18" i="8"/>
  <c r="E21" i="8"/>
  <c r="D19" i="8"/>
  <c r="E22" i="8"/>
  <c r="E18" i="8"/>
  <c r="D20" i="8"/>
  <c r="E23" i="8"/>
  <c r="E19" i="8"/>
  <c r="D21" i="8"/>
  <c r="E24" i="8"/>
  <c r="D22" i="8"/>
  <c r="D23" i="8"/>
  <c r="D24" i="8"/>
  <c r="F30" i="14"/>
  <c r="F31" i="14"/>
  <c r="F32" i="14"/>
  <c r="E8" i="14"/>
  <c r="G8" i="14"/>
  <c r="D30" i="14"/>
  <c r="D31" i="14"/>
  <c r="D34" i="14"/>
  <c r="C18" i="14"/>
  <c r="C25" i="14"/>
  <c r="C21" i="14"/>
  <c r="C22" i="14"/>
  <c r="C24" i="14"/>
  <c r="C20" i="14"/>
  <c r="C23" i="14"/>
  <c r="C19" i="14"/>
  <c r="G18" i="14" l="1"/>
  <c r="G21" i="14"/>
  <c r="G32" i="14" s="1"/>
  <c r="G24" i="14"/>
  <c r="G19" i="14"/>
  <c r="G30" i="14" s="1"/>
  <c r="G22" i="14"/>
  <c r="G33" i="14" s="1"/>
  <c r="G25" i="14"/>
  <c r="G34" i="14" s="1"/>
  <c r="G17" i="14"/>
  <c r="G23" i="14"/>
  <c r="G20" i="14"/>
  <c r="G31" i="14" s="1"/>
  <c r="E25" i="14"/>
  <c r="E34" i="14" s="1"/>
  <c r="E21" i="14"/>
  <c r="E32" i="14" s="1"/>
  <c r="E19" i="14"/>
  <c r="E30" i="14" s="1"/>
  <c r="E23" i="14"/>
  <c r="E20" i="14"/>
  <c r="E31" i="14" s="1"/>
  <c r="E18" i="14"/>
  <c r="E17" i="14"/>
  <c r="E24" i="14"/>
  <c r="E22" i="14"/>
  <c r="E33" i="14" s="1"/>
  <c r="J24" i="14"/>
  <c r="K24" i="14"/>
  <c r="C34" i="14"/>
  <c r="K25" i="14"/>
  <c r="I34" i="14" s="1"/>
  <c r="J25" i="14"/>
  <c r="H34" i="14" s="1"/>
  <c r="C30" i="14"/>
  <c r="J19" i="14"/>
  <c r="H30" i="14" s="1"/>
  <c r="K19" i="14"/>
  <c r="I30" i="14" s="1"/>
  <c r="C33" i="14"/>
  <c r="K22" i="14"/>
  <c r="I33" i="14" s="1"/>
  <c r="J22" i="14"/>
  <c r="H33" i="14" s="1"/>
  <c r="J18" i="14"/>
  <c r="K18" i="14"/>
  <c r="K17" i="14"/>
  <c r="J17" i="14"/>
  <c r="K23" i="14"/>
  <c r="J23" i="14"/>
  <c r="C31" i="14"/>
  <c r="J20" i="14"/>
  <c r="H31" i="14" s="1"/>
  <c r="K20" i="14"/>
  <c r="I31" i="14" s="1"/>
  <c r="K21" i="14"/>
  <c r="I32" i="14" s="1"/>
  <c r="C32" i="14"/>
  <c r="J21" i="14"/>
  <c r="H32" i="14" s="1"/>
  <c r="Z21" i="8" l="1"/>
  <c r="Y21" i="8"/>
  <c r="X21" i="8"/>
  <c r="W21" i="8"/>
  <c r="V21" i="8"/>
  <c r="U21" i="8"/>
  <c r="Z20" i="8"/>
  <c r="Y20" i="8"/>
  <c r="X20" i="8"/>
  <c r="W20" i="8"/>
  <c r="V20" i="8"/>
  <c r="U20" i="8"/>
  <c r="Z19" i="8"/>
  <c r="Y19" i="8"/>
  <c r="X19" i="8"/>
  <c r="W19" i="8"/>
  <c r="V19" i="8"/>
  <c r="U19" i="8"/>
  <c r="Z18" i="8"/>
  <c r="Y18" i="8"/>
  <c r="X18" i="8"/>
  <c r="W18" i="8"/>
  <c r="V18" i="8"/>
  <c r="U18" i="8"/>
  <c r="Z17" i="8"/>
  <c r="Y17" i="8"/>
  <c r="X17" i="8"/>
  <c r="W17" i="8"/>
  <c r="V17" i="8"/>
  <c r="U17" i="8"/>
  <c r="Z16" i="8"/>
  <c r="Y16" i="8"/>
  <c r="X16" i="8"/>
  <c r="W16" i="8"/>
  <c r="V16" i="8"/>
  <c r="U16" i="8"/>
  <c r="Z15" i="8"/>
  <c r="Y15" i="8"/>
  <c r="X15" i="8"/>
  <c r="W15" i="8"/>
  <c r="V15" i="8"/>
  <c r="U15" i="8"/>
  <c r="Z14" i="8"/>
  <c r="Y14" i="8"/>
  <c r="X14" i="8"/>
  <c r="W14" i="8"/>
  <c r="V14" i="8"/>
  <c r="U14" i="8"/>
  <c r="Z13" i="8"/>
  <c r="Y13" i="8"/>
  <c r="X13" i="8"/>
  <c r="W13" i="8"/>
  <c r="V13" i="8"/>
  <c r="U13" i="8"/>
  <c r="U9" i="8"/>
  <c r="T9" i="8"/>
  <c r="S9" i="8"/>
  <c r="R9" i="8"/>
  <c r="Q9" i="8"/>
  <c r="U8" i="8"/>
  <c r="T8" i="8"/>
  <c r="S8" i="8"/>
  <c r="R8" i="8"/>
  <c r="Q8" i="8"/>
  <c r="U7" i="8"/>
  <c r="T7" i="8"/>
  <c r="S7" i="8"/>
  <c r="R7" i="8"/>
  <c r="Q7" i="8"/>
  <c r="C7" i="8"/>
  <c r="C8" i="8" s="1"/>
  <c r="E34" i="8" l="1"/>
  <c r="E30" i="8"/>
  <c r="E33" i="8"/>
  <c r="E32" i="8"/>
  <c r="E31" i="8"/>
  <c r="D34" i="8"/>
  <c r="D33" i="8"/>
  <c r="D32" i="8"/>
  <c r="D31" i="8"/>
  <c r="D30" i="8"/>
  <c r="C17" i="8"/>
  <c r="C25" i="8"/>
  <c r="C21" i="8"/>
  <c r="C18" i="8"/>
  <c r="C24" i="8"/>
  <c r="C20" i="8"/>
  <c r="C23" i="8"/>
  <c r="C19" i="8"/>
  <c r="C22" i="8"/>
  <c r="G21" i="8" l="1"/>
  <c r="F32" i="8" s="1"/>
  <c r="H21" i="8"/>
  <c r="G19" i="8"/>
  <c r="H19" i="8"/>
  <c r="H22" i="8"/>
  <c r="G33" i="8" s="1"/>
  <c r="G22" i="8"/>
  <c r="F33" i="8" s="1"/>
  <c r="H25" i="8"/>
  <c r="G34" i="8" s="1"/>
  <c r="G25" i="8"/>
  <c r="H23" i="8"/>
  <c r="G23" i="8"/>
  <c r="H24" i="8"/>
  <c r="G24" i="8"/>
  <c r="G17" i="8"/>
  <c r="H17" i="8"/>
  <c r="G20" i="8"/>
  <c r="H20" i="8"/>
  <c r="G31" i="8" s="1"/>
  <c r="H18" i="8"/>
  <c r="G18" i="8"/>
  <c r="C32" i="8"/>
  <c r="G32" i="8"/>
  <c r="C34" i="8"/>
  <c r="F34" i="8"/>
  <c r="C33" i="8"/>
  <c r="C30" i="8"/>
  <c r="F30" i="8"/>
  <c r="G30" i="8"/>
  <c r="F31" i="8"/>
  <c r="C31" i="8"/>
  <c r="C8" i="4" l="1"/>
  <c r="C21" i="4" l="1"/>
  <c r="G21" i="4" s="1"/>
  <c r="C18" i="4"/>
  <c r="G18" i="4" s="1"/>
  <c r="C17" i="4"/>
  <c r="G17" i="4" s="1"/>
  <c r="D30" i="4"/>
  <c r="C20" i="4"/>
  <c r="G20" i="4" s="1"/>
  <c r="F33" i="4"/>
  <c r="C19" i="4"/>
  <c r="G19" i="4" s="1"/>
  <c r="E32" i="4"/>
  <c r="F31" i="4"/>
  <c r="C23" i="4"/>
  <c r="G23" i="4" s="1"/>
  <c r="D32" i="4"/>
  <c r="C25" i="4"/>
  <c r="G25" i="4" s="1"/>
  <c r="C24" i="4"/>
  <c r="G24" i="4" s="1"/>
  <c r="D31" i="4"/>
  <c r="C22" i="4"/>
  <c r="F34" i="4"/>
  <c r="F32" i="4"/>
  <c r="F30" i="4"/>
  <c r="E34" i="4"/>
  <c r="E33" i="4"/>
  <c r="E30" i="4"/>
  <c r="E31" i="4"/>
  <c r="D34" i="4"/>
  <c r="D33" i="4"/>
  <c r="J22" i="4" l="1"/>
  <c r="H33" i="4" s="1"/>
  <c r="G22" i="4"/>
  <c r="C33" i="4"/>
  <c r="I22" i="4"/>
  <c r="G33" i="4" s="1"/>
  <c r="I25" i="4"/>
  <c r="G34" i="4" s="1"/>
  <c r="J25" i="4"/>
  <c r="H34" i="4" s="1"/>
  <c r="C34" i="4"/>
  <c r="J24" i="4"/>
  <c r="I24" i="4"/>
  <c r="C30" i="4"/>
  <c r="I19" i="4"/>
  <c r="G30" i="4" s="1"/>
  <c r="J19" i="4"/>
  <c r="H30" i="4" s="1"/>
  <c r="C31" i="4"/>
  <c r="I20" i="4"/>
  <c r="G31" i="4" s="1"/>
  <c r="J20" i="4"/>
  <c r="H31" i="4" s="1"/>
  <c r="I18" i="4"/>
  <c r="J18" i="4"/>
  <c r="J23" i="4"/>
  <c r="I23" i="4"/>
  <c r="C32" i="4"/>
  <c r="J21" i="4"/>
  <c r="H32" i="4" s="1"/>
  <c r="I21" i="4"/>
  <c r="G32" i="4" s="1"/>
  <c r="J17" i="4"/>
  <c r="I1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tc={0387009A-1917-4D24-BE4A-0FE62CFFBFFC}</author>
    <author>tc={843E5A76-4558-41D8-9D93-E2D36846768B}</author>
  </authors>
  <commentList>
    <comment ref="D9" authorId="0" shapeId="0" xr:uid="{0387009A-1917-4D24-BE4A-0FE62CFFBFFC}">
      <text>
        <t>[Threaded comment]
Your version of Excel allows you to read this threaded comment; however, any edits to it will get removed if the file is opened in a newer version of Excel. Learn more: https://go.microsoft.com/fwlink/?linkid=870924
Comment:
    Omega East</t>
      </text>
    </comment>
    <comment ref="E9" authorId="1" shapeId="0" xr:uid="{843E5A76-4558-41D8-9D93-E2D36846768B}">
      <text>
        <t>[Threaded comment]
Your version of Excel allows you to read this threaded comment; however, any edits to it will get removed if the file is opened in a newer version of Excel. Learn more: https://go.microsoft.com/fwlink/?linkid=870924
Comment:
    Omega South</t>
      </text>
    </comment>
  </commentList>
</comments>
</file>

<file path=xl/sharedStrings.xml><?xml version="1.0" encoding="utf-8"?>
<sst xmlns="http://schemas.openxmlformats.org/spreadsheetml/2006/main" count="169" uniqueCount="52">
  <si>
    <t>Minimum</t>
  </si>
  <si>
    <t>S</t>
  </si>
  <si>
    <t>Characteristics</t>
  </si>
  <si>
    <t>1st Quartile</t>
  </si>
  <si>
    <t>Median</t>
  </si>
  <si>
    <t>3rd Quartile</t>
  </si>
  <si>
    <t>Maximum</t>
  </si>
  <si>
    <t>P (in)</t>
  </si>
  <si>
    <t>A (mi2)</t>
  </si>
  <si>
    <t>Omega</t>
  </si>
  <si>
    <t>100 x S</t>
  </si>
  <si>
    <t>Coeff1</t>
  </si>
  <si>
    <t>Coeff2</t>
  </si>
  <si>
    <t>Coeff3</t>
  </si>
  <si>
    <t>Coeff4</t>
  </si>
  <si>
    <t>Coeff5</t>
  </si>
  <si>
    <t>Coeff6</t>
  </si>
  <si>
    <t>The estimation of annual peak streamflow frequency for undeveloped watersheds in Texas based on the USGS's scientific investigation report (2009): https://pubs.usgs.gov/sir/2009/5087/pdf/sir2009-5087.pdf</t>
  </si>
  <si>
    <t>Inputs</t>
  </si>
  <si>
    <t>Final Results</t>
  </si>
  <si>
    <r>
      <t xml:space="preserve">Q2 </t>
    </r>
    <r>
      <rPr>
        <sz val="8"/>
        <color theme="1"/>
        <rFont val="Calibri"/>
        <family val="2"/>
        <scheme val="minor"/>
      </rPr>
      <t>(cfs)</t>
    </r>
  </si>
  <si>
    <r>
      <t xml:space="preserve">Q5 </t>
    </r>
    <r>
      <rPr>
        <sz val="8"/>
        <color theme="1"/>
        <rFont val="Calibri"/>
        <family val="2"/>
        <scheme val="minor"/>
      </rPr>
      <t>(cfs)</t>
    </r>
  </si>
  <si>
    <r>
      <t xml:space="preserve">Q10 </t>
    </r>
    <r>
      <rPr>
        <sz val="8"/>
        <color theme="1"/>
        <rFont val="Calibri"/>
        <family val="2"/>
        <scheme val="minor"/>
      </rPr>
      <t>(cfs)</t>
    </r>
  </si>
  <si>
    <r>
      <t xml:space="preserve">Q25 </t>
    </r>
    <r>
      <rPr>
        <sz val="8"/>
        <color theme="1"/>
        <rFont val="Calibri"/>
        <family val="2"/>
        <scheme val="minor"/>
      </rPr>
      <t>(cfs)</t>
    </r>
  </si>
  <si>
    <r>
      <t xml:space="preserve">Q50 </t>
    </r>
    <r>
      <rPr>
        <sz val="8"/>
        <color theme="1"/>
        <rFont val="Calibri"/>
        <family val="2"/>
        <scheme val="minor"/>
      </rPr>
      <t>(cfs)</t>
    </r>
  </si>
  <si>
    <r>
      <t xml:space="preserve">Q100 </t>
    </r>
    <r>
      <rPr>
        <sz val="8"/>
        <color theme="1"/>
        <rFont val="Calibri"/>
        <family val="2"/>
        <scheme val="minor"/>
      </rPr>
      <t>(cfs)</t>
    </r>
  </si>
  <si>
    <r>
      <t xml:space="preserve">Q200 </t>
    </r>
    <r>
      <rPr>
        <sz val="8"/>
        <color theme="1"/>
        <rFont val="Calibri"/>
        <family val="2"/>
        <scheme val="minor"/>
      </rPr>
      <t>(cfs)</t>
    </r>
  </si>
  <si>
    <r>
      <t xml:space="preserve">Q250 </t>
    </r>
    <r>
      <rPr>
        <sz val="8"/>
        <color theme="1"/>
        <rFont val="Calibri"/>
        <family val="2"/>
        <scheme val="minor"/>
      </rPr>
      <t>(cfs)</t>
    </r>
  </si>
  <si>
    <r>
      <t xml:space="preserve">Q500 </t>
    </r>
    <r>
      <rPr>
        <sz val="8"/>
        <color theme="1"/>
        <rFont val="Calibri"/>
        <family val="2"/>
        <scheme val="minor"/>
      </rPr>
      <t>(cfs)</t>
    </r>
  </si>
  <si>
    <t>The regression equations coefficients (Do not change!)</t>
  </si>
  <si>
    <t>10% lower CL</t>
  </si>
  <si>
    <t>90% upper CL</t>
  </si>
  <si>
    <t>Recurrence Interval</t>
  </si>
  <si>
    <t>PeakFQ Estimates</t>
  </si>
  <si>
    <t>Regression (cfs)</t>
  </si>
  <si>
    <t>Description</t>
  </si>
  <si>
    <t>Drainage area</t>
  </si>
  <si>
    <t>Avg Annual Precip</t>
  </si>
  <si>
    <t>Fig 3 in report or georef shp</t>
  </si>
  <si>
    <t>Interpolated Main Channel Slope*100</t>
  </si>
  <si>
    <t>Table1 in the report: Summary statistics of the watershed characteristics</t>
  </si>
  <si>
    <t>Use this table for interpolation purposes</t>
  </si>
  <si>
    <t>Main Channel Slope (should be verified based on topography)</t>
  </si>
  <si>
    <t>Add PeakFQ results here</t>
  </si>
  <si>
    <t>Table 3 in the report</t>
  </si>
  <si>
    <t>Add your basin characteristics here</t>
  </si>
  <si>
    <t>5% lower CL</t>
  </si>
  <si>
    <t>95% upper CL</t>
  </si>
  <si>
    <t>SIGMA[QT] parameter</t>
  </si>
  <si>
    <t>Sensitivity Analysis</t>
  </si>
  <si>
    <t>Precipitation Sensitivity (cfs)</t>
  </si>
  <si>
    <t>Omega Sensitivity (cfs)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</si>
</sst>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6" borderId="24" applyNumberFormat="0" applyAlignment="0" applyProtection="0"/>
  </cellStyleXfs>
  <cellXfs count="13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0" xfId="1" applyBorder="1" applyAlignment="1" applyProtection="1">
      <alignment horizontal="center" vertical="center"/>
      <protection locked="0"/>
    </xf>
    <xf numFmtId="164" fontId="4" fillId="3" borderId="0" xfId="1" applyNumberFormat="1" applyBorder="1" applyAlignment="1" applyProtection="1">
      <alignment horizontal="center" vertical="center"/>
      <protection locked="0"/>
    </xf>
    <xf numFmtId="0" fontId="4" fillId="3" borderId="3" xfId="1" applyBorder="1" applyAlignment="1" applyProtection="1">
      <alignment horizontal="center" vertical="center"/>
    </xf>
    <xf numFmtId="0" fontId="4" fillId="3" borderId="0" xfId="1" applyBorder="1" applyAlignment="1" applyProtection="1">
      <alignment horizontal="center" vertical="center"/>
    </xf>
    <xf numFmtId="0" fontId="4" fillId="3" borderId="4" xfId="1" applyBorder="1" applyAlignment="1" applyProtection="1">
      <alignment horizontal="center" vertical="center"/>
    </xf>
    <xf numFmtId="0" fontId="4" fillId="3" borderId="5" xfId="1" applyBorder="1" applyAlignment="1" applyProtection="1">
      <alignment horizontal="center" vertical="center"/>
    </xf>
    <xf numFmtId="0" fontId="4" fillId="3" borderId="13" xfId="1" applyBorder="1" applyAlignment="1" applyProtection="1">
      <alignment horizontal="center" vertical="center"/>
    </xf>
    <xf numFmtId="0" fontId="4" fillId="3" borderId="6" xfId="1" applyBorder="1" applyAlignment="1" applyProtection="1">
      <alignment horizontal="center" vertical="center"/>
    </xf>
    <xf numFmtId="0" fontId="4" fillId="3" borderId="8" xfId="1" applyBorder="1" applyAlignment="1" applyProtection="1">
      <alignment horizontal="center" vertical="center"/>
    </xf>
    <xf numFmtId="0" fontId="4" fillId="3" borderId="11" xfId="1" applyBorder="1" applyAlignment="1" applyProtection="1">
      <alignment horizontal="center" vertical="center"/>
    </xf>
    <xf numFmtId="0" fontId="4" fillId="3" borderId="10" xfId="1" applyBorder="1" applyAlignment="1" applyProtection="1">
      <alignment horizontal="center" vertical="center"/>
    </xf>
    <xf numFmtId="1" fontId="4" fillId="3" borderId="0" xfId="1" applyNumberFormat="1" applyBorder="1" applyAlignment="1" applyProtection="1">
      <alignment horizontal="center" vertical="center"/>
      <protection locked="0"/>
    </xf>
    <xf numFmtId="1" fontId="4" fillId="3" borderId="11" xfId="1" applyNumberFormat="1" applyBorder="1" applyAlignment="1" applyProtection="1">
      <alignment horizontal="center" vertical="center"/>
      <protection locked="0"/>
    </xf>
    <xf numFmtId="1" fontId="4" fillId="3" borderId="8" xfId="1" applyNumberFormat="1" applyBorder="1" applyAlignmen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4" fillId="3" borderId="3" xfId="1" applyBorder="1" applyAlignment="1">
      <alignment horizontal="center" vertical="center"/>
    </xf>
    <xf numFmtId="0" fontId="4" fillId="3" borderId="0" xfId="1" applyAlignment="1">
      <alignment horizontal="center" vertical="center"/>
    </xf>
    <xf numFmtId="0" fontId="4" fillId="3" borderId="4" xfId="1" applyBorder="1" applyAlignment="1">
      <alignment horizontal="center" vertical="center"/>
    </xf>
    <xf numFmtId="0" fontId="4" fillId="3" borderId="5" xfId="1" applyBorder="1" applyAlignment="1">
      <alignment horizontal="center" vertical="center"/>
    </xf>
    <xf numFmtId="0" fontId="4" fillId="3" borderId="13" xfId="1" applyBorder="1" applyAlignment="1">
      <alignment horizontal="center" vertical="center"/>
    </xf>
    <xf numFmtId="0" fontId="4" fillId="3" borderId="6" xfId="1" applyBorder="1" applyAlignment="1">
      <alignment horizontal="center" vertical="center"/>
    </xf>
    <xf numFmtId="0" fontId="4" fillId="3" borderId="8" xfId="1" applyBorder="1" applyAlignment="1">
      <alignment horizontal="center" vertical="center"/>
    </xf>
    <xf numFmtId="0" fontId="4" fillId="3" borderId="11" xfId="1" applyBorder="1" applyAlignment="1">
      <alignment horizontal="center" vertical="center"/>
    </xf>
    <xf numFmtId="0" fontId="4" fillId="3" borderId="10" xfId="1" applyBorder="1" applyAlignment="1">
      <alignment horizontal="center" vertical="center"/>
    </xf>
    <xf numFmtId="0" fontId="4" fillId="3" borderId="11" xfId="1" applyBorder="1" applyAlignment="1" applyProtection="1">
      <alignment horizontal="center" vertical="center"/>
      <protection locked="0"/>
    </xf>
    <xf numFmtId="0" fontId="4" fillId="3" borderId="0" xfId="1" applyAlignment="1" applyProtection="1">
      <alignment horizontal="center" vertical="center"/>
      <protection locked="0"/>
    </xf>
    <xf numFmtId="0" fontId="6" fillId="5" borderId="0" xfId="3" applyBorder="1" applyAlignment="1" applyProtection="1">
      <alignment horizontal="center" vertical="center"/>
      <protection locked="0"/>
    </xf>
    <xf numFmtId="0" fontId="6" fillId="5" borderId="0" xfId="3" applyAlignment="1" applyProtection="1">
      <alignment horizontal="center" vertical="center"/>
      <protection locked="0"/>
    </xf>
    <xf numFmtId="164" fontId="4" fillId="3" borderId="0" xfId="1" applyNumberFormat="1" applyAlignment="1" applyProtection="1">
      <alignment horizontal="center" vertical="center"/>
      <protection locked="0"/>
    </xf>
    <xf numFmtId="1" fontId="4" fillId="3" borderId="0" xfId="1" applyNumberFormat="1" applyAlignment="1" applyProtection="1">
      <alignment horizontal="center" vertical="center"/>
      <protection locked="0"/>
    </xf>
    <xf numFmtId="0" fontId="5" fillId="4" borderId="8" xfId="2" applyBorder="1" applyAlignment="1" applyProtection="1">
      <alignment horizontal="center" vertical="center"/>
      <protection locked="0"/>
    </xf>
    <xf numFmtId="0" fontId="5" fillId="4" borderId="10" xfId="2" applyBorder="1" applyAlignment="1" applyProtection="1">
      <alignment horizontal="center" vertical="center"/>
      <protection locked="0"/>
    </xf>
    <xf numFmtId="1" fontId="4" fillId="3" borderId="10" xfId="1" applyNumberFormat="1" applyBorder="1" applyAlignment="1" applyProtection="1">
      <alignment horizontal="center" vertical="center"/>
      <protection locked="0"/>
    </xf>
    <xf numFmtId="1" fontId="4" fillId="3" borderId="7" xfId="1" applyNumberFormat="1" applyBorder="1" applyAlignment="1" applyProtection="1">
      <alignment horizontal="center" vertical="center"/>
      <protection locked="0"/>
    </xf>
    <xf numFmtId="1" fontId="4" fillId="3" borderId="9" xfId="1" applyNumberFormat="1" applyBorder="1" applyAlignment="1" applyProtection="1">
      <alignment horizontal="center" vertical="center"/>
      <protection locked="0"/>
    </xf>
    <xf numFmtId="0" fontId="7" fillId="6" borderId="24" xfId="4" applyProtection="1">
      <protection locked="0"/>
    </xf>
    <xf numFmtId="0" fontId="3" fillId="0" borderId="16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/>
    </xf>
    <xf numFmtId="0" fontId="0" fillId="0" borderId="23" xfId="0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0" fontId="0" fillId="0" borderId="9" xfId="0" applyFill="1" applyBorder="1" applyAlignment="1" applyProtection="1">
      <alignment horizontal="center" wrapText="1"/>
      <protection locked="0"/>
    </xf>
    <xf numFmtId="0" fontId="0" fillId="0" borderId="11" xfId="0" applyFill="1" applyBorder="1" applyAlignment="1" applyProtection="1">
      <alignment horizontal="center" wrapText="1"/>
      <protection locked="0"/>
    </xf>
    <xf numFmtId="0" fontId="0" fillId="0" borderId="10" xfId="0" applyFill="1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9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 wrapText="1"/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3" borderId="7" xfId="1" applyBorder="1" applyAlignment="1" applyProtection="1">
      <alignment horizontal="center" vertical="center"/>
      <protection locked="0"/>
    </xf>
    <xf numFmtId="0" fontId="4" fillId="3" borderId="8" xfId="1" applyBorder="1" applyAlignment="1" applyProtection="1">
      <alignment horizontal="center" vertical="center"/>
      <protection locked="0"/>
    </xf>
    <xf numFmtId="0" fontId="6" fillId="5" borderId="7" xfId="3" applyBorder="1" applyAlignment="1" applyProtection="1">
      <alignment horizontal="center" vertical="center"/>
      <protection locked="0"/>
    </xf>
    <xf numFmtId="0" fontId="6" fillId="5" borderId="8" xfId="3" applyBorder="1" applyAlignment="1" applyProtection="1">
      <alignment horizontal="center" vertical="center"/>
      <protection locked="0"/>
    </xf>
    <xf numFmtId="164" fontId="4" fillId="3" borderId="7" xfId="1" applyNumberFormat="1" applyBorder="1" applyAlignment="1" applyProtection="1">
      <alignment horizontal="center" vertical="center"/>
      <protection locked="0"/>
    </xf>
    <xf numFmtId="164" fontId="4" fillId="3" borderId="8" xfId="1" applyNumberFormat="1" applyBorder="1" applyAlignment="1" applyProtection="1">
      <alignment horizontal="center" vertical="center"/>
      <protection locked="0"/>
    </xf>
    <xf numFmtId="0" fontId="4" fillId="3" borderId="9" xfId="1" applyBorder="1" applyAlignment="1" applyProtection="1">
      <alignment horizontal="center" vertical="center"/>
      <protection locked="0"/>
    </xf>
    <xf numFmtId="0" fontId="6" fillId="5" borderId="10" xfId="3" applyBorder="1" applyAlignment="1" applyProtection="1">
      <alignment horizontal="center" vertical="center"/>
      <protection locked="0"/>
    </xf>
    <xf numFmtId="1" fontId="4" fillId="3" borderId="21" xfId="1" applyNumberFormat="1" applyBorder="1" applyAlignment="1" applyProtection="1">
      <alignment horizontal="center" vertical="center"/>
      <protection locked="0"/>
    </xf>
    <xf numFmtId="1" fontId="4" fillId="3" borderId="23" xfId="1" applyNumberFormat="1" applyBorder="1" applyAlignment="1" applyProtection="1">
      <alignment horizontal="center" vertical="center"/>
      <protection locked="0"/>
    </xf>
    <xf numFmtId="1" fontId="4" fillId="3" borderId="22" xfId="1" applyNumberFormat="1" applyBorder="1" applyAlignment="1" applyProtection="1">
      <alignment horizontal="center" vertical="center"/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4" fillId="3" borderId="21" xfId="1" applyBorder="1" applyAlignment="1" applyProtection="1">
      <alignment horizontal="center" vertical="center"/>
      <protection locked="0"/>
    </xf>
    <xf numFmtId="0" fontId="4" fillId="3" borderId="23" xfId="1" applyBorder="1" applyAlignment="1" applyProtection="1">
      <alignment horizontal="center" vertical="center"/>
      <protection locked="0"/>
    </xf>
    <xf numFmtId="0" fontId="4" fillId="3" borderId="22" xfId="1" applyBorder="1" applyAlignment="1" applyProtection="1">
      <alignment horizontal="center" vertical="center"/>
      <protection locked="0"/>
    </xf>
    <xf numFmtId="0" fontId="4" fillId="3" borderId="10" xfId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1" fontId="4" fillId="3" borderId="25" xfId="1" applyNumberFormat="1" applyBorder="1" applyAlignment="1" applyProtection="1">
      <alignment horizontal="center" vertical="center"/>
      <protection locked="0"/>
    </xf>
    <xf numFmtId="1" fontId="4" fillId="3" borderId="26" xfId="1" applyNumberFormat="1" applyBorder="1" applyAlignment="1" applyProtection="1">
      <alignment horizontal="center" vertical="center"/>
      <protection locked="0"/>
    </xf>
    <xf numFmtId="1" fontId="4" fillId="3" borderId="27" xfId="1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6" fillId="5" borderId="11" xfId="3" applyBorder="1" applyAlignment="1" applyProtection="1">
      <alignment horizontal="center" vertical="center"/>
      <protection locked="0"/>
    </xf>
    <xf numFmtId="0" fontId="6" fillId="5" borderId="9" xfId="3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 applyProtection="1">
      <alignment horizontal="center" vertical="center" wrapText="1"/>
      <protection locked="0"/>
    </xf>
  </cellXfs>
  <cellStyles count="5">
    <cellStyle name="Bad" xfId="2" builtinId="27"/>
    <cellStyle name="Good" xfId="1" builtinId="26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'07227420'!$B$30:$B$34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'07227420'!$C$30:$C$34</c:f>
              <c:numCache>
                <c:formatCode>0</c:formatCode>
                <c:ptCount val="5"/>
                <c:pt idx="0">
                  <c:v>2888.7281254635277</c:v>
                </c:pt>
                <c:pt idx="1">
                  <c:v>4513.8917524944309</c:v>
                </c:pt>
                <c:pt idx="2">
                  <c:v>5997.665139682771</c:v>
                </c:pt>
                <c:pt idx="3">
                  <c:v>7839.1215423952353</c:v>
                </c:pt>
                <c:pt idx="4">
                  <c:v>13631.217323720959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0EB-4828-9264-7B91EADC879C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'07227420'!$B$30:$B$34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'07227420'!$I$30:$I$34</c:f>
              <c:numCache>
                <c:formatCode>General</c:formatCode>
                <c:ptCount val="5"/>
                <c:pt idx="0">
                  <c:v>29420</c:v>
                </c:pt>
                <c:pt idx="1">
                  <c:v>51000</c:v>
                </c:pt>
                <c:pt idx="2">
                  <c:v>68310</c:v>
                </c:pt>
                <c:pt idx="3">
                  <c:v>85530</c:v>
                </c:pt>
                <c:pt idx="4">
                  <c:v>122200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0EB-4828-9264-7B91EADC879C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'07227420'!$B$30:$B$34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'07227420'!$G$30:$G$34</c:f>
              <c:numCache>
                <c:formatCode>0</c:formatCode>
                <c:ptCount val="5"/>
                <c:pt idx="0">
                  <c:v>1150.0233805265948</c:v>
                </c:pt>
                <c:pt idx="1">
                  <c:v>1732.0129707999545</c:v>
                </c:pt>
                <c:pt idx="2">
                  <c:v>2137.8745369509984</c:v>
                </c:pt>
                <c:pt idx="3">
                  <c:v>2595.7771077716752</c:v>
                </c:pt>
                <c:pt idx="4">
                  <c:v>3487.6640265816245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0EB-4828-9264-7B91EADC879C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'07227420'!$B$30:$B$34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'07227420'!$H$30:$H$34</c:f>
              <c:numCache>
                <c:formatCode>0</c:formatCode>
                <c:ptCount val="5"/>
                <c:pt idx="0">
                  <c:v>7256.1569826719397</c:v>
                </c:pt>
                <c:pt idx="1">
                  <c:v>11763.895015074093</c:v>
                </c:pt>
                <c:pt idx="2">
                  <c:v>16826.051532036421</c:v>
                </c:pt>
                <c:pt idx="3">
                  <c:v>23673.768588397004</c:v>
                </c:pt>
                <c:pt idx="4">
                  <c:v>53276.37189544009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0EB-4828-9264-7B91EADC8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'07227890'!$B$30:$B$34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'07227890'!$C$30:$C$34</c:f>
              <c:numCache>
                <c:formatCode>0</c:formatCode>
                <c:ptCount val="5"/>
                <c:pt idx="0">
                  <c:v>14286.605820602339</c:v>
                </c:pt>
                <c:pt idx="1">
                  <c:v>23065.219580719968</c:v>
                </c:pt>
                <c:pt idx="2">
                  <c:v>31456.726992807726</c:v>
                </c:pt>
                <c:pt idx="3">
                  <c:v>42196.75133726075</c:v>
                </c:pt>
                <c:pt idx="4">
                  <c:v>76852.211321859082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70-4124-B929-374A6379B807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'07227890'!$B$30:$B$34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'07227890'!$H$30:$H$34</c:f>
              <c:numCache>
                <c:formatCode>General</c:formatCode>
                <c:ptCount val="5"/>
                <c:pt idx="0">
                  <c:v>29420</c:v>
                </c:pt>
                <c:pt idx="1">
                  <c:v>51000</c:v>
                </c:pt>
                <c:pt idx="2">
                  <c:v>68310</c:v>
                </c:pt>
                <c:pt idx="3">
                  <c:v>85530</c:v>
                </c:pt>
                <c:pt idx="4">
                  <c:v>122200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970-4124-B929-374A6379B807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'07227890'!$B$30:$B$34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'07227890'!$F$30:$F$34</c:f>
              <c:numCache>
                <c:formatCode>0</c:formatCode>
                <c:ptCount val="5"/>
                <c:pt idx="0">
                  <c:v>5687.6002200531202</c:v>
                </c:pt>
                <c:pt idx="1">
                  <c:v>8850.2918719926402</c:v>
                </c:pt>
                <c:pt idx="2">
                  <c:v>11212.785990466249</c:v>
                </c:pt>
                <c:pt idx="3">
                  <c:v>13972.657593229225</c:v>
                </c:pt>
                <c:pt idx="4">
                  <c:v>19663.298326559929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970-4124-B929-374A6379B807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'07227890'!$B$30:$B$34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'07227890'!$G$30:$G$34</c:f>
              <c:numCache>
                <c:formatCode>0</c:formatCode>
                <c:ptCount val="5"/>
                <c:pt idx="0">
                  <c:v>35886.331313096838</c:v>
                </c:pt>
                <c:pt idx="1">
                  <c:v>60111.503891797467</c:v>
                </c:pt>
                <c:pt idx="2">
                  <c:v>88249.760045486721</c:v>
                </c:pt>
                <c:pt idx="3">
                  <c:v>127432.15179633685</c:v>
                </c:pt>
                <c:pt idx="4">
                  <c:v>300369.87116662401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970-4124-B929-374A6379B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'07235000'!$B$30:$B$34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'07235000'!$C$30:$C$34</c:f>
              <c:numCache>
                <c:formatCode>0</c:formatCode>
                <c:ptCount val="5"/>
                <c:pt idx="0">
                  <c:v>16610.643591899119</c:v>
                </c:pt>
                <c:pt idx="1">
                  <c:v>26950.401514113477</c:v>
                </c:pt>
                <c:pt idx="2">
                  <c:v>36889.097448576409</c:v>
                </c:pt>
                <c:pt idx="3">
                  <c:v>49662.181938365407</c:v>
                </c:pt>
                <c:pt idx="4">
                  <c:v>91071.181133958526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CC0-4643-A4EB-1D93E95A80DD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'07235000'!$B$30:$B$34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'07235000'!$J$30:$J$34</c:f>
              <c:numCache>
                <c:formatCode>General</c:formatCode>
                <c:ptCount val="5"/>
                <c:pt idx="0">
                  <c:v>29420</c:v>
                </c:pt>
                <c:pt idx="1">
                  <c:v>51000</c:v>
                </c:pt>
                <c:pt idx="2">
                  <c:v>68310</c:v>
                </c:pt>
                <c:pt idx="3">
                  <c:v>85530</c:v>
                </c:pt>
                <c:pt idx="4">
                  <c:v>122200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CC0-4643-A4EB-1D93E95A80DD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'07235000'!$B$30:$B$34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'07235000'!$H$30:$H$34</c:f>
              <c:numCache>
                <c:formatCode>0</c:formatCode>
                <c:ptCount val="5"/>
                <c:pt idx="0">
                  <c:v>6612.8163214435535</c:v>
                </c:pt>
                <c:pt idx="1">
                  <c:v>10341.064329891416</c:v>
                </c:pt>
                <c:pt idx="2">
                  <c:v>13149.160596616233</c:v>
                </c:pt>
                <c:pt idx="3">
                  <c:v>16444.69400052341</c:v>
                </c:pt>
                <c:pt idx="4">
                  <c:v>23301.343875317445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CC0-4643-A4EB-1D93E95A80DD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'07235000'!$B$30:$B$34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'07235000'!$I$30:$I$34</c:f>
              <c:numCache>
                <c:formatCode>0</c:formatCode>
                <c:ptCount val="5"/>
                <c:pt idx="0">
                  <c:v>41724.050257133029</c:v>
                </c:pt>
                <c:pt idx="1">
                  <c:v>70236.884579902573</c:v>
                </c:pt>
                <c:pt idx="2">
                  <c:v>103489.91485591508</c:v>
                </c:pt>
                <c:pt idx="3">
                  <c:v>149977.39178368472</c:v>
                </c:pt>
                <c:pt idx="4">
                  <c:v>355943.42015268479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CC0-4643-A4EB-1D93E95A8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781050</xdr:colOff>
      <xdr:row>22</xdr:row>
      <xdr:rowOff>66674</xdr:rowOff>
    </xdr:from>
    <xdr:to>
      <xdr:col>18</xdr:col>
      <xdr:colOff>590550</xdr:colOff>
      <xdr:row>41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3180AD-4558-4D4B-89A2-CCD9CBEEB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152401</xdr:colOff>
      <xdr:row>11</xdr:row>
      <xdr:rowOff>9525</xdr:rowOff>
    </xdr:from>
    <xdr:to>
      <xdr:col>14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B76144-CCA6-4116-9B18-BCE324D2B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30741" y="2066925"/>
          <a:ext cx="3182438" cy="21161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781050</xdr:colOff>
      <xdr:row>22</xdr:row>
      <xdr:rowOff>66674</xdr:rowOff>
    </xdr:from>
    <xdr:to>
      <xdr:col>16</xdr:col>
      <xdr:colOff>590550</xdr:colOff>
      <xdr:row>41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2B5899-B510-4EDB-9C90-424DFAAF3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152401</xdr:colOff>
      <xdr:row>11</xdr:row>
      <xdr:rowOff>9525</xdr:rowOff>
    </xdr:from>
    <xdr:to>
      <xdr:col>12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D8B1BB-638E-4C4B-BD48-09885F801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30741" y="2066925"/>
          <a:ext cx="3182438" cy="21161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781050</xdr:colOff>
      <xdr:row>22</xdr:row>
      <xdr:rowOff>66674</xdr:rowOff>
    </xdr:from>
    <xdr:to>
      <xdr:col>19</xdr:col>
      <xdr:colOff>590550</xdr:colOff>
      <xdr:row>41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8968AE-4275-4B51-BA33-64ABC91C5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152401</xdr:colOff>
      <xdr:row>11</xdr:row>
      <xdr:rowOff>9525</xdr:rowOff>
    </xdr:from>
    <xdr:to>
      <xdr:col>15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891DCD-48C8-4CFC-95EB-D6DEA11C1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30741" y="2066925"/>
          <a:ext cx="3182438" cy="211610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mpbell, Douglas (Austin)" id="{69B559A5-B154-479A-B089-43FE5FC59715}" userId="S::Douglas.Campbell@stantec.com::f7329c73-0154-4f0f-9efc-f01cc25eec1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9" dT="2022-12-20T16:26:57.11" personId="{69B559A5-B154-479A-B089-43FE5FC59715}" id="{0387009A-1917-4D24-BE4A-0FE62CFFBFFC}">
    <text>Omega East</text>
  </threadedComment>
  <threadedComment ref="E9" dT="2022-12-20T16:27:03.72" personId="{69B559A5-B154-479A-B089-43FE5FC59715}" id="{843E5A76-4558-41D8-9D93-E2D36846768B}">
    <text>Omega South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24174-A5D5-496D-9383-4B09C003D356}">
  <dimension ref="B1:U34"/>
  <sheetViews>
    <sheetView tabSelected="1" workbookViewId="0">
      <selection activeCell="G9" sqref="G9"/>
    </sheetView>
  </sheetViews>
  <sheetFormatPr defaultColWidth="9.140625" defaultRowHeight="15" x14ac:dyDescent="0.25"/>
  <cols>
    <col min="1" max="1" width="9.140625" style="1"/>
    <col min="2" max="2" width="18.5703125" style="1" bestFit="1" customWidth="1"/>
    <col min="3" max="6" width="16.42578125" style="1" bestFit="1" customWidth="1"/>
    <col min="7" max="7" width="36.85546875" style="1" customWidth="1"/>
    <col min="8" max="8" width="21.7109375" style="1" bestFit="1" customWidth="1"/>
    <col min="9" max="9" width="57.140625" style="1" bestFit="1" customWidth="1"/>
    <col min="10" max="10" width="15.28515625" style="1" customWidth="1"/>
    <col min="11" max="11" width="23.140625" style="1" bestFit="1" customWidth="1"/>
    <col min="12" max="12" width="17.85546875" style="1" bestFit="1" customWidth="1"/>
    <col min="13" max="13" width="14" style="1" bestFit="1" customWidth="1"/>
    <col min="14" max="15" width="11.28515625" style="1" bestFit="1" customWidth="1"/>
    <col min="16" max="16" width="11.5703125" style="1" bestFit="1" customWidth="1"/>
    <col min="17" max="17" width="12.5703125" style="1" customWidth="1"/>
    <col min="18" max="18" width="9.85546875" style="1" bestFit="1" customWidth="1"/>
    <col min="19" max="19" width="9.85546875" style="1" customWidth="1"/>
    <col min="20" max="20" width="9.85546875" style="1" bestFit="1" customWidth="1"/>
    <col min="21" max="16384" width="9.140625" style="1"/>
  </cols>
  <sheetData>
    <row r="1" spans="2:21" x14ac:dyDescent="0.25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2:21" x14ac:dyDescent="0.2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2:21" ht="15.75" thickBot="1" x14ac:dyDescent="0.3">
      <c r="B3" s="74" t="s">
        <v>45</v>
      </c>
      <c r="C3" s="74"/>
      <c r="D3" s="93"/>
      <c r="E3" s="93"/>
      <c r="F3" s="93"/>
      <c r="G3" s="93"/>
      <c r="H3" s="93"/>
    </row>
    <row r="4" spans="2:21" ht="15.75" thickBot="1" x14ac:dyDescent="0.3">
      <c r="B4" s="71" t="s">
        <v>18</v>
      </c>
      <c r="C4" s="75"/>
      <c r="D4" s="71" t="s">
        <v>49</v>
      </c>
      <c r="E4" s="75"/>
      <c r="F4" s="72"/>
      <c r="G4" s="11" t="s">
        <v>35</v>
      </c>
      <c r="L4" s="76" t="s">
        <v>40</v>
      </c>
      <c r="M4" s="77"/>
      <c r="N4" s="77"/>
      <c r="O4" s="77"/>
      <c r="P4" s="77"/>
      <c r="Q4" s="78"/>
    </row>
    <row r="5" spans="2:21" ht="15.75" customHeight="1" thickBot="1" x14ac:dyDescent="0.3">
      <c r="B5" s="12" t="s">
        <v>8</v>
      </c>
      <c r="C5" s="20">
        <v>94.7</v>
      </c>
      <c r="D5" s="95">
        <v>94.7</v>
      </c>
      <c r="E5" s="20">
        <v>94.7</v>
      </c>
      <c r="F5" s="96">
        <v>94.7</v>
      </c>
      <c r="G5" s="13" t="s">
        <v>36</v>
      </c>
      <c r="L5" s="79" t="s">
        <v>41</v>
      </c>
      <c r="M5" s="80"/>
      <c r="N5" s="80"/>
      <c r="O5" s="80"/>
      <c r="P5" s="80"/>
      <c r="Q5" s="81"/>
      <c r="S5" s="2"/>
      <c r="T5" s="2"/>
    </row>
    <row r="6" spans="2:21" ht="15.75" thickBot="1" x14ac:dyDescent="0.3">
      <c r="B6" s="12" t="s">
        <v>7</v>
      </c>
      <c r="C6" s="61">
        <v>16</v>
      </c>
      <c r="D6" s="97">
        <v>15</v>
      </c>
      <c r="E6" s="61">
        <v>17</v>
      </c>
      <c r="F6" s="98">
        <v>16</v>
      </c>
      <c r="G6" s="13" t="s">
        <v>37</v>
      </c>
      <c r="L6" s="8" t="s">
        <v>2</v>
      </c>
      <c r="M6" s="9" t="s">
        <v>0</v>
      </c>
      <c r="N6" s="9" t="s">
        <v>3</v>
      </c>
      <c r="O6" s="9" t="s">
        <v>4</v>
      </c>
      <c r="P6" s="9" t="s">
        <v>5</v>
      </c>
      <c r="Q6" s="10" t="s">
        <v>6</v>
      </c>
      <c r="S6" s="3"/>
      <c r="T6" s="3"/>
    </row>
    <row r="7" spans="2:21" x14ac:dyDescent="0.25">
      <c r="B7" s="12" t="s">
        <v>10</v>
      </c>
      <c r="C7" s="21">
        <f>IF(C5&lt;97.4,_xlfn.FORECAST.LINEAR(C5,$M$8:$O$8,$M$7:$O$7),IF(AND(C5&gt;=97.4,(C5&lt;9329)),_xlfn.FORECAST.LINEAR(C5,$O$8:$Q$8,$O$7:$Q$7)))</f>
        <v>0.26752550022946719</v>
      </c>
      <c r="D7" s="99">
        <f>IF(D5&lt;97.4,_xlfn.FORECAST.LINEAR(D5,$M$8:$O$8,$M$7:$O$7),IF(AND(D5&gt;=97.4,(D5&lt;9329)),_xlfn.FORECAST.LINEAR(D5,$O$8:$Q$8,$O$7:$Q$7)))</f>
        <v>0.26752550022946719</v>
      </c>
      <c r="E7" s="21">
        <f>IF(E5&lt;97.4,_xlfn.FORECAST.LINEAR(E5,$M$8:$O$8,$M$7:$O$7),IF(AND(E5&gt;=97.4,(E5&lt;9329)),_xlfn.FORECAST.LINEAR(E5,$O$8:$Q$8,$O$7:$Q$7)))</f>
        <v>0.26752550022946719</v>
      </c>
      <c r="F7" s="100">
        <f>IF(F5&lt;97.4,_xlfn.FORECAST.LINEAR(F5,$M$8:$O$8,$M$7:$O$7),IF(AND(F5&gt;=97.4,(F5&lt;9329)),_xlfn.FORECAST.LINEAR(F5,$O$8:$Q$8,$O$7:$Q$7)))</f>
        <v>0.26752550022946719</v>
      </c>
      <c r="G7" s="14" t="s">
        <v>39</v>
      </c>
      <c r="L7" s="7" t="s">
        <v>8</v>
      </c>
      <c r="M7" s="23">
        <v>0.1</v>
      </c>
      <c r="N7" s="23">
        <v>6.4029999999999996</v>
      </c>
      <c r="O7" s="23">
        <v>97.4</v>
      </c>
      <c r="P7" s="23">
        <v>499</v>
      </c>
      <c r="Q7" s="28">
        <v>9329</v>
      </c>
      <c r="S7" s="3"/>
      <c r="T7" s="3"/>
    </row>
    <row r="8" spans="2:21" ht="30" x14ac:dyDescent="0.25">
      <c r="B8" s="12" t="s">
        <v>1</v>
      </c>
      <c r="C8" s="20">
        <f>C7/100</f>
        <v>2.6752550022946719E-3</v>
      </c>
      <c r="D8" s="95">
        <f>D7/100</f>
        <v>2.6752550022946719E-3</v>
      </c>
      <c r="E8" s="20">
        <f>E7/100</f>
        <v>2.6752550022946719E-3</v>
      </c>
      <c r="F8" s="96">
        <f>F7/100</f>
        <v>2.6752550022946719E-3</v>
      </c>
      <c r="G8" s="14" t="s">
        <v>42</v>
      </c>
      <c r="L8" s="7" t="s">
        <v>10</v>
      </c>
      <c r="M8" s="23">
        <v>2.3E-2</v>
      </c>
      <c r="N8" s="23">
        <v>0.152</v>
      </c>
      <c r="O8" s="23">
        <v>0.26900000000000002</v>
      </c>
      <c r="P8" s="23">
        <v>0.65700000000000003</v>
      </c>
      <c r="Q8" s="28">
        <v>7.03</v>
      </c>
    </row>
    <row r="9" spans="2:21" ht="15.75" thickBot="1" x14ac:dyDescent="0.3">
      <c r="B9" s="15" t="s">
        <v>9</v>
      </c>
      <c r="C9" s="59">
        <v>-8.3000000000000004E-2</v>
      </c>
      <c r="D9" s="101">
        <v>-8.3000000000000004E-2</v>
      </c>
      <c r="E9" s="59">
        <v>-8.3000000000000004E-2</v>
      </c>
      <c r="F9" s="102">
        <v>-8.8999999999999996E-2</v>
      </c>
      <c r="G9" s="16" t="s">
        <v>38</v>
      </c>
      <c r="L9" s="8" t="s">
        <v>7</v>
      </c>
      <c r="M9" s="29">
        <v>8</v>
      </c>
      <c r="N9" s="29">
        <v>23</v>
      </c>
      <c r="O9" s="29">
        <v>31</v>
      </c>
      <c r="P9" s="29">
        <v>41</v>
      </c>
      <c r="Q9" s="30">
        <v>57</v>
      </c>
      <c r="T9" s="3"/>
    </row>
    <row r="11" spans="2:21" x14ac:dyDescent="0.25">
      <c r="B11" s="2"/>
      <c r="C11" s="2"/>
      <c r="D11" s="2"/>
      <c r="E11" s="2"/>
      <c r="F11" s="2"/>
      <c r="G11" s="2"/>
      <c r="H11" s="2"/>
      <c r="L11" s="1" t="s">
        <v>44</v>
      </c>
      <c r="P11" s="82" t="s">
        <v>29</v>
      </c>
      <c r="Q11" s="83"/>
      <c r="R11" s="83"/>
      <c r="S11" s="83"/>
      <c r="T11" s="83"/>
      <c r="U11" s="84"/>
    </row>
    <row r="12" spans="2:21" ht="15.75" customHeight="1" x14ac:dyDescent="0.25">
      <c r="P12" s="4" t="s">
        <v>11</v>
      </c>
      <c r="Q12" s="5" t="s">
        <v>12</v>
      </c>
      <c r="R12" s="5" t="s">
        <v>13</v>
      </c>
      <c r="S12" s="5" t="s">
        <v>14</v>
      </c>
      <c r="T12" s="5" t="s">
        <v>15</v>
      </c>
      <c r="U12" s="6" t="s">
        <v>16</v>
      </c>
    </row>
    <row r="13" spans="2:21" x14ac:dyDescent="0.25">
      <c r="P13" s="22">
        <v>1.3979999999999999</v>
      </c>
      <c r="Q13" s="23">
        <v>0.27</v>
      </c>
      <c r="R13" s="23">
        <v>0.77600000000000002</v>
      </c>
      <c r="S13" s="23">
        <v>50.98</v>
      </c>
      <c r="T13" s="23">
        <v>50.3</v>
      </c>
      <c r="U13" s="24">
        <v>-5.7999999999999996E-3</v>
      </c>
    </row>
    <row r="14" spans="2:21" ht="15.75" thickBot="1" x14ac:dyDescent="0.3">
      <c r="P14" s="22">
        <v>1.3080000000000001</v>
      </c>
      <c r="Q14" s="23">
        <v>0.372</v>
      </c>
      <c r="R14" s="23">
        <v>0.88500000000000001</v>
      </c>
      <c r="S14" s="23">
        <v>16.62</v>
      </c>
      <c r="T14" s="23">
        <v>15.32</v>
      </c>
      <c r="U14" s="24">
        <v>-2.1499999999999998E-2</v>
      </c>
    </row>
    <row r="15" spans="2:21" ht="15.75" thickBot="1" x14ac:dyDescent="0.3">
      <c r="B15" s="71" t="s">
        <v>19</v>
      </c>
      <c r="C15" s="129"/>
      <c r="D15" s="94"/>
      <c r="E15" s="94"/>
      <c r="F15" s="94"/>
      <c r="G15" s="94"/>
      <c r="H15" s="94"/>
      <c r="I15" s="17"/>
      <c r="J15" s="17"/>
      <c r="P15" s="22">
        <v>1.2030000000000001</v>
      </c>
      <c r="Q15" s="23">
        <v>0.40300000000000002</v>
      </c>
      <c r="R15" s="23">
        <v>0.91800000000000004</v>
      </c>
      <c r="S15" s="23">
        <v>13.62</v>
      </c>
      <c r="T15" s="23">
        <v>11.97</v>
      </c>
      <c r="U15" s="24">
        <v>-2.8899999999999999E-2</v>
      </c>
    </row>
    <row r="16" spans="2:21" ht="15.75" thickBot="1" x14ac:dyDescent="0.3">
      <c r="B16" s="15"/>
      <c r="C16" s="106" t="s">
        <v>34</v>
      </c>
      <c r="D16" s="107"/>
      <c r="E16" s="107"/>
      <c r="F16" s="108"/>
      <c r="G16" s="112" t="s">
        <v>50</v>
      </c>
      <c r="H16" s="112" t="s">
        <v>51</v>
      </c>
      <c r="I16" s="18" t="s">
        <v>30</v>
      </c>
      <c r="J16" s="11" t="s">
        <v>31</v>
      </c>
      <c r="K16" s="70" t="s">
        <v>48</v>
      </c>
      <c r="P16" s="22">
        <v>1.1399999999999999</v>
      </c>
      <c r="Q16" s="23">
        <v>0.44600000000000001</v>
      </c>
      <c r="R16" s="23">
        <v>0.94499999999999995</v>
      </c>
      <c r="S16" s="23">
        <v>11.79</v>
      </c>
      <c r="T16" s="23">
        <v>9.8190000000000008</v>
      </c>
      <c r="U16" s="24">
        <v>-3.7400000000000003E-2</v>
      </c>
    </row>
    <row r="17" spans="2:21" x14ac:dyDescent="0.25">
      <c r="B17" s="12" t="s">
        <v>20</v>
      </c>
      <c r="C17" s="31">
        <f>($C$6^$P13)*($C$8^$Q13)*(10^($R13*$C$9+$S13-$T13*($C$5^$U13)))</f>
        <v>821.48192082119886</v>
      </c>
      <c r="D17" s="103">
        <f>($D$6^$P13)*($D$8^$Q13)*(10^($R13*$D$9+$S13-$T13*($D$5^$U13)))</f>
        <v>750.60915021695848</v>
      </c>
      <c r="E17" s="104">
        <f>($E$6^$P13)*($E$8^$Q13)*(10^($R13*$E$9+$S13-$T13*($E$5^$U13)))</f>
        <v>894.14070507214717</v>
      </c>
      <c r="F17" s="105">
        <f>($F$6^$P13)*($F$8^$Q13)*(10^($R13*$F$9+$S13-$T13*($F$5^$U13)))</f>
        <v>812.72198851495477</v>
      </c>
      <c r="G17" s="31" t="str">
        <f>_xlfn.CONCAT(ROUND(MIN(C17:E17),0)," - ", ROUND(MAX(C17:E17),0))</f>
        <v>751 - 894</v>
      </c>
      <c r="H17" s="31" t="str">
        <f>_xlfn.CONCAT(ROUND(MIN(C17,F17),0)," - ", ROUND(MAX(C17,F17),0))</f>
        <v>813 - 821</v>
      </c>
      <c r="I17" s="31">
        <f>10^(LOG10(C17)-1.6*K17)</f>
        <v>282.22664295417832</v>
      </c>
      <c r="J17" s="33">
        <f>10^(LOG10(C17)+1.6*K17)</f>
        <v>2391.1014891165</v>
      </c>
      <c r="K17" s="70">
        <v>0.28999999999999998</v>
      </c>
      <c r="P17" s="22">
        <v>1.105</v>
      </c>
      <c r="Q17" s="23">
        <v>0.47599999999999998</v>
      </c>
      <c r="R17" s="23">
        <v>0.96099999999999997</v>
      </c>
      <c r="S17" s="23">
        <v>11.17</v>
      </c>
      <c r="T17" s="23">
        <v>8.9969999999999999</v>
      </c>
      <c r="U17" s="24">
        <v>-4.24E-2</v>
      </c>
    </row>
    <row r="18" spans="2:21" x14ac:dyDescent="0.25">
      <c r="B18" s="12" t="s">
        <v>21</v>
      </c>
      <c r="C18" s="31">
        <f>($C$6^$P14)*($C$8^$Q14)*(10^($R14*$C$9+$S14-$T14*($C$5^$U14)))</f>
        <v>1872.5563738610192</v>
      </c>
      <c r="D18" s="68">
        <f t="shared" ref="D18:D25" si="0">($D$6^$P14)*($D$8^$Q14)*(10^($R14*$D$9+$S14-$T14*($D$5^$U14)))</f>
        <v>1720.9701224594041</v>
      </c>
      <c r="E18" s="31">
        <f t="shared" ref="E18:E25" si="1">($E$6^$P14)*($E$8^$Q14)*(10^($R14*$E$9+$S14-$T14*($E$5^$U14)))</f>
        <v>2027.0905684297038</v>
      </c>
      <c r="F18" s="33">
        <f t="shared" ref="F18:F25" si="2">($F$6^$P14)*($F$8^$Q14)*(10^($R14*$F$9+$S14-$T14*($F$5^$U14)))</f>
        <v>1849.8005367658698</v>
      </c>
      <c r="G18" s="31" t="str">
        <f t="shared" ref="G18:G25" si="3">_xlfn.CONCAT(ROUND(MIN(C18:E18),0)," - ", ROUND(MAX(C18:E18),0))</f>
        <v>1721 - 2027</v>
      </c>
      <c r="H18" s="31" t="str">
        <f t="shared" ref="H18:H25" si="4">_xlfn.CONCAT(ROUND(MIN(C18,F18),0)," - ", ROUND(MAX(C18,F18),0))</f>
        <v>1850 - 1873</v>
      </c>
      <c r="I18" s="31">
        <f t="shared" ref="I18:I25" si="5">10^(LOG10(C18)-1.6*K18)</f>
        <v>718.51344824322257</v>
      </c>
      <c r="J18" s="33">
        <f t="shared" ref="J18:J25" si="6">10^(LOG10(C18)+1.6*K18)</f>
        <v>4880.1694413109608</v>
      </c>
      <c r="K18" s="70">
        <v>0.26</v>
      </c>
      <c r="P18" s="22">
        <v>1.071</v>
      </c>
      <c r="Q18" s="23">
        <v>0.50700000000000001</v>
      </c>
      <c r="R18" s="23">
        <v>0.96899999999999997</v>
      </c>
      <c r="S18" s="23">
        <v>10.82</v>
      </c>
      <c r="T18" s="23">
        <v>8.4480000000000004</v>
      </c>
      <c r="U18" s="24">
        <v>-4.6699999999999998E-2</v>
      </c>
    </row>
    <row r="19" spans="2:21" x14ac:dyDescent="0.25">
      <c r="B19" s="12" t="s">
        <v>22</v>
      </c>
      <c r="C19" s="31">
        <f>($C$6^$P15)*($C$8^$Q15)*(10^($R15*$C$9+$S15-$T15*($C$5^$U15)))</f>
        <v>2888.7281254635277</v>
      </c>
      <c r="D19" s="68">
        <f t="shared" si="0"/>
        <v>2672.9332618329672</v>
      </c>
      <c r="E19" s="31">
        <f t="shared" si="1"/>
        <v>3107.2799529794079</v>
      </c>
      <c r="F19" s="33">
        <f t="shared" si="2"/>
        <v>2852.3227762932452</v>
      </c>
      <c r="G19" s="31" t="str">
        <f t="shared" si="3"/>
        <v>2673 - 3107</v>
      </c>
      <c r="H19" s="31" t="str">
        <f t="shared" si="4"/>
        <v>2852 - 2889</v>
      </c>
      <c r="I19" s="31">
        <f t="shared" si="5"/>
        <v>1150.0233805265948</v>
      </c>
      <c r="J19" s="33">
        <f t="shared" si="6"/>
        <v>7256.1569826719397</v>
      </c>
      <c r="K19" s="70">
        <v>0.25</v>
      </c>
      <c r="P19" s="22">
        <v>1.034</v>
      </c>
      <c r="Q19" s="23">
        <v>0.53100000000000003</v>
      </c>
      <c r="R19" s="23">
        <v>0.97499999999999998</v>
      </c>
      <c r="S19" s="23">
        <v>10.61</v>
      </c>
      <c r="T19" s="23">
        <v>8.0579999999999998</v>
      </c>
      <c r="U19" s="24">
        <v>-5.04E-2</v>
      </c>
    </row>
    <row r="20" spans="2:21" x14ac:dyDescent="0.25">
      <c r="B20" s="12" t="s">
        <v>23</v>
      </c>
      <c r="C20" s="31">
        <f>($C$6^$P16)*($C$8^$Q16)*(10^($R16*$C$9+$S16-$T16*($C$5^$U16)))</f>
        <v>4513.8917524944309</v>
      </c>
      <c r="D20" s="68">
        <f t="shared" si="0"/>
        <v>4193.7099996897859</v>
      </c>
      <c r="E20" s="31">
        <f t="shared" si="1"/>
        <v>4836.8891021250129</v>
      </c>
      <c r="F20" s="33">
        <f t="shared" si="2"/>
        <v>4455.3429560359473</v>
      </c>
      <c r="G20" s="31" t="str">
        <f t="shared" si="3"/>
        <v>4194 - 4837</v>
      </c>
      <c r="H20" s="31" t="str">
        <f t="shared" si="4"/>
        <v>4455 - 4514</v>
      </c>
      <c r="I20" s="31">
        <f t="shared" si="5"/>
        <v>1732.0129707999545</v>
      </c>
      <c r="J20" s="33">
        <f t="shared" si="6"/>
        <v>11763.895015074093</v>
      </c>
      <c r="K20" s="70">
        <v>0.26</v>
      </c>
      <c r="P20" s="22">
        <v>1.0209999999999999</v>
      </c>
      <c r="Q20" s="23">
        <v>0.54100000000000004</v>
      </c>
      <c r="R20" s="23">
        <v>0.97699999999999998</v>
      </c>
      <c r="S20" s="23">
        <v>10.56</v>
      </c>
      <c r="T20" s="23">
        <v>7.9429999999999996</v>
      </c>
      <c r="U20" s="24">
        <v>-5.16E-2</v>
      </c>
    </row>
    <row r="21" spans="2:21" x14ac:dyDescent="0.25">
      <c r="B21" s="12" t="s">
        <v>24</v>
      </c>
      <c r="C21" s="31">
        <f>($C$6^$P17)*($C$8^$Q17)*(10^($R17*$C$9+$S17-$T17*($C$5^$U17)))</f>
        <v>5997.665139682771</v>
      </c>
      <c r="D21" s="68">
        <f t="shared" si="0"/>
        <v>5584.8366507882465</v>
      </c>
      <c r="E21" s="31">
        <f t="shared" si="1"/>
        <v>6413.2134092490278</v>
      </c>
      <c r="F21" s="33">
        <f t="shared" si="2"/>
        <v>5918.5621803711228</v>
      </c>
      <c r="G21" s="31" t="str">
        <f t="shared" si="3"/>
        <v>5585 - 6413</v>
      </c>
      <c r="H21" s="31" t="str">
        <f t="shared" si="4"/>
        <v>5919 - 5998</v>
      </c>
      <c r="I21" s="31">
        <f t="shared" si="5"/>
        <v>2137.8745369509984</v>
      </c>
      <c r="J21" s="33">
        <f t="shared" si="6"/>
        <v>16826.051532036421</v>
      </c>
      <c r="K21" s="70">
        <v>0.28000000000000003</v>
      </c>
      <c r="P21" s="25">
        <v>0.98799999999999999</v>
      </c>
      <c r="Q21" s="26">
        <v>0.56899999999999995</v>
      </c>
      <c r="R21" s="26">
        <v>0.97599999999999998</v>
      </c>
      <c r="S21" s="26">
        <v>10.4</v>
      </c>
      <c r="T21" s="26">
        <v>7.6050000000000004</v>
      </c>
      <c r="U21" s="27">
        <v>-5.5399999999999998E-2</v>
      </c>
    </row>
    <row r="22" spans="2:21" x14ac:dyDescent="0.25">
      <c r="B22" s="12" t="s">
        <v>25</v>
      </c>
      <c r="C22" s="31">
        <f>($C$6^$P18)*($C$8^$Q18)*(10^($R18*$C$9+$S18-$T18*($C$5^$U18)))</f>
        <v>7839.1215423952353</v>
      </c>
      <c r="D22" s="68">
        <f t="shared" si="0"/>
        <v>7315.5778296246499</v>
      </c>
      <c r="E22" s="31">
        <f t="shared" si="1"/>
        <v>8364.9951102172035</v>
      </c>
      <c r="F22" s="33">
        <f t="shared" si="2"/>
        <v>7734.876752767289</v>
      </c>
      <c r="G22" s="31" t="str">
        <f t="shared" si="3"/>
        <v>7316 - 8365</v>
      </c>
      <c r="H22" s="31" t="str">
        <f t="shared" si="4"/>
        <v>7735 - 7839</v>
      </c>
      <c r="I22" s="31">
        <f t="shared" si="5"/>
        <v>2595.7771077716752</v>
      </c>
      <c r="J22" s="33">
        <f t="shared" si="6"/>
        <v>23673.768588397004</v>
      </c>
      <c r="K22" s="70">
        <v>0.3</v>
      </c>
    </row>
    <row r="23" spans="2:21" x14ac:dyDescent="0.25">
      <c r="B23" s="12" t="s">
        <v>26</v>
      </c>
      <c r="C23" s="31">
        <f>($C$6^$P19)*($C$8^$Q19)*(10^($R19*$C$9+$S19-$T19*($C$5^$U19)))</f>
        <v>10036.670613141911</v>
      </c>
      <c r="D23" s="68">
        <f t="shared" si="0"/>
        <v>9388.7542451889858</v>
      </c>
      <c r="E23" s="31">
        <f t="shared" si="1"/>
        <v>10685.966151655339</v>
      </c>
      <c r="F23" s="33">
        <f t="shared" si="2"/>
        <v>9902.3819007490165</v>
      </c>
      <c r="G23" s="31" t="str">
        <f t="shared" si="3"/>
        <v>9389 - 10686</v>
      </c>
      <c r="H23" s="31" t="str">
        <f t="shared" si="4"/>
        <v>9902 - 10037</v>
      </c>
      <c r="I23" s="31">
        <f t="shared" si="5"/>
        <v>2975.7036080159683</v>
      </c>
      <c r="J23" s="33">
        <f t="shared" si="6"/>
        <v>33852.416190022006</v>
      </c>
      <c r="K23" s="70">
        <v>0.33</v>
      </c>
    </row>
    <row r="24" spans="2:21" x14ac:dyDescent="0.25">
      <c r="B24" s="12" t="s">
        <v>27</v>
      </c>
      <c r="C24" s="31">
        <f>($C$6^$P20)*($C$8^$Q20)*(10^($R20*$C$9+$S20-$T20*($C$5^$U20)))</f>
        <v>10860.893734062274</v>
      </c>
      <c r="D24" s="68">
        <f t="shared" si="0"/>
        <v>10168.29734824154</v>
      </c>
      <c r="E24" s="31">
        <f t="shared" si="1"/>
        <v>11554.40033673673</v>
      </c>
      <c r="F24" s="33">
        <f t="shared" si="2"/>
        <v>10715.280997414311</v>
      </c>
      <c r="G24" s="31" t="str">
        <f t="shared" si="3"/>
        <v>10168 - 11554</v>
      </c>
      <c r="H24" s="31" t="str">
        <f t="shared" si="4"/>
        <v>10715 - 10861</v>
      </c>
      <c r="I24" s="31">
        <f t="shared" si="5"/>
        <v>3103.5987227056617</v>
      </c>
      <c r="J24" s="33">
        <f t="shared" si="6"/>
        <v>38007.172718436625</v>
      </c>
      <c r="K24" s="70">
        <v>0.34</v>
      </c>
    </row>
    <row r="25" spans="2:21" ht="15.75" thickBot="1" x14ac:dyDescent="0.3">
      <c r="B25" s="15" t="s">
        <v>28</v>
      </c>
      <c r="C25" s="31">
        <f>($C$6^$P21)*($C$8^$Q21)*(10^($R21*$C$9+$S21-$T21*($C$5^$U21)))</f>
        <v>13631.217323720959</v>
      </c>
      <c r="D25" s="69">
        <f t="shared" si="0"/>
        <v>12789.167133760389</v>
      </c>
      <c r="E25" s="32">
        <f t="shared" si="1"/>
        <v>14472.63579884203</v>
      </c>
      <c r="F25" s="67">
        <f t="shared" si="2"/>
        <v>13448.648470053464</v>
      </c>
      <c r="G25" s="31" t="str">
        <f t="shared" si="3"/>
        <v>12789 - 14473</v>
      </c>
      <c r="H25" s="31" t="str">
        <f t="shared" si="4"/>
        <v>13449 - 13631</v>
      </c>
      <c r="I25" s="31">
        <f t="shared" si="5"/>
        <v>3487.6640265816245</v>
      </c>
      <c r="J25" s="33">
        <f t="shared" si="6"/>
        <v>53276.37189544009</v>
      </c>
      <c r="K25" s="70">
        <v>0.37</v>
      </c>
    </row>
    <row r="26" spans="2:21" x14ac:dyDescent="0.25">
      <c r="I26" s="34"/>
      <c r="J26" s="34"/>
    </row>
    <row r="28" spans="2:21" ht="15.75" thickBot="1" x14ac:dyDescent="0.3">
      <c r="I28" s="19" t="s">
        <v>43</v>
      </c>
    </row>
    <row r="29" spans="2:21" ht="15.75" thickBot="1" x14ac:dyDescent="0.3">
      <c r="B29" s="18" t="s">
        <v>32</v>
      </c>
      <c r="C29" s="109" t="s">
        <v>34</v>
      </c>
      <c r="D29" s="110"/>
      <c r="E29" s="110"/>
      <c r="F29" s="111"/>
      <c r="G29" s="112" t="s">
        <v>46</v>
      </c>
      <c r="H29" s="11" t="s">
        <v>47</v>
      </c>
      <c r="I29" s="11" t="s">
        <v>33</v>
      </c>
    </row>
    <row r="30" spans="2:21" x14ac:dyDescent="0.25">
      <c r="B30" s="12">
        <v>10</v>
      </c>
      <c r="C30" s="119">
        <f t="shared" ref="C30:J33" si="7">C19</f>
        <v>2888.7281254635277</v>
      </c>
      <c r="D30" s="103">
        <f t="shared" ref="D30:E30" si="8">D19</f>
        <v>2672.9332618329672</v>
      </c>
      <c r="E30" s="104">
        <f t="shared" si="8"/>
        <v>3107.2799529794079</v>
      </c>
      <c r="F30" s="105">
        <f t="shared" ref="F30" si="9">F19</f>
        <v>2852.3227762932452</v>
      </c>
      <c r="G30" s="31">
        <f>I19</f>
        <v>1150.0233805265948</v>
      </c>
      <c r="H30" s="33">
        <f>J19</f>
        <v>7256.1569826719397</v>
      </c>
      <c r="I30" s="65">
        <v>29420</v>
      </c>
    </row>
    <row r="31" spans="2:21" x14ac:dyDescent="0.25">
      <c r="B31" s="12">
        <v>25</v>
      </c>
      <c r="C31" s="120">
        <f t="shared" si="7"/>
        <v>4513.8917524944309</v>
      </c>
      <c r="D31" s="68">
        <f t="shared" ref="D31:E31" si="10">D20</f>
        <v>4193.7099996897859</v>
      </c>
      <c r="E31" s="31">
        <f t="shared" si="10"/>
        <v>4836.8891021250129</v>
      </c>
      <c r="F31" s="33">
        <f t="shared" ref="F31" si="11">F20</f>
        <v>4455.3429560359473</v>
      </c>
      <c r="G31" s="31">
        <f>I20</f>
        <v>1732.0129707999545</v>
      </c>
      <c r="H31" s="33">
        <f>J20</f>
        <v>11763.895015074093</v>
      </c>
      <c r="I31" s="65">
        <v>51000</v>
      </c>
    </row>
    <row r="32" spans="2:21" x14ac:dyDescent="0.25">
      <c r="B32" s="12">
        <v>50</v>
      </c>
      <c r="C32" s="120">
        <f t="shared" si="7"/>
        <v>5997.665139682771</v>
      </c>
      <c r="D32" s="68">
        <f t="shared" ref="D32:E32" si="12">D21</f>
        <v>5584.8366507882465</v>
      </c>
      <c r="E32" s="31">
        <f t="shared" si="12"/>
        <v>6413.2134092490278</v>
      </c>
      <c r="F32" s="33">
        <f t="shared" ref="F32" si="13">F21</f>
        <v>5918.5621803711228</v>
      </c>
      <c r="G32" s="31">
        <f>I21</f>
        <v>2137.8745369509984</v>
      </c>
      <c r="H32" s="33">
        <f>J21</f>
        <v>16826.051532036421</v>
      </c>
      <c r="I32" s="65">
        <v>68310</v>
      </c>
    </row>
    <row r="33" spans="2:9" x14ac:dyDescent="0.25">
      <c r="B33" s="12">
        <v>100</v>
      </c>
      <c r="C33" s="120">
        <f t="shared" si="7"/>
        <v>7839.1215423952353</v>
      </c>
      <c r="D33" s="68">
        <f t="shared" ref="D33:E33" si="14">D22</f>
        <v>7315.5778296246499</v>
      </c>
      <c r="E33" s="31">
        <f t="shared" si="14"/>
        <v>8364.9951102172035</v>
      </c>
      <c r="F33" s="33">
        <f t="shared" ref="F33" si="15">F22</f>
        <v>7734.876752767289</v>
      </c>
      <c r="G33" s="31">
        <f>I22</f>
        <v>2595.7771077716752</v>
      </c>
      <c r="H33" s="33">
        <f>J22</f>
        <v>23673.768588397004</v>
      </c>
      <c r="I33" s="65">
        <v>85530</v>
      </c>
    </row>
    <row r="34" spans="2:9" ht="15.75" thickBot="1" x14ac:dyDescent="0.3">
      <c r="B34" s="15">
        <v>500</v>
      </c>
      <c r="C34" s="121">
        <f>C25</f>
        <v>13631.217323720959</v>
      </c>
      <c r="D34" s="69">
        <f>D25</f>
        <v>12789.167133760389</v>
      </c>
      <c r="E34" s="32">
        <f>E25</f>
        <v>14472.63579884203</v>
      </c>
      <c r="F34" s="67">
        <f>F25</f>
        <v>13448.648470053464</v>
      </c>
      <c r="G34" s="32">
        <f>I25</f>
        <v>3487.6640265816245</v>
      </c>
      <c r="H34" s="67">
        <f>J25</f>
        <v>53276.37189544009</v>
      </c>
      <c r="I34" s="66">
        <v>122200</v>
      </c>
    </row>
  </sheetData>
  <mergeCells count="10">
    <mergeCell ref="C16:F16"/>
    <mergeCell ref="C29:F29"/>
    <mergeCell ref="D4:F4"/>
    <mergeCell ref="B15:C15"/>
    <mergeCell ref="B1:Q2"/>
    <mergeCell ref="B3:C3"/>
    <mergeCell ref="B4:C4"/>
    <mergeCell ref="L4:Q4"/>
    <mergeCell ref="L5:Q5"/>
    <mergeCell ref="P11:U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748C-9A61-4A71-9C0F-8D10E991727A}">
  <dimension ref="B1:Z34"/>
  <sheetViews>
    <sheetView workbookViewId="0">
      <selection activeCell="F28" sqref="F28:H34"/>
    </sheetView>
  </sheetViews>
  <sheetFormatPr defaultColWidth="9.140625" defaultRowHeight="15" x14ac:dyDescent="0.25"/>
  <cols>
    <col min="1" max="1" width="9.140625" style="1"/>
    <col min="2" max="2" width="18.5703125" style="1" bestFit="1" customWidth="1"/>
    <col min="3" max="5" width="16.42578125" style="1" bestFit="1" customWidth="1"/>
    <col min="6" max="6" width="36.5703125" style="1" customWidth="1"/>
    <col min="7" max="7" width="12.5703125" style="1" bestFit="1" customWidth="1"/>
    <col min="8" max="8" width="15.28515625" style="1" customWidth="1"/>
    <col min="9" max="9" width="23.140625" style="1" bestFit="1" customWidth="1"/>
    <col min="10" max="10" width="17.85546875" style="1" bestFit="1" customWidth="1"/>
    <col min="11" max="11" width="14" style="1" bestFit="1" customWidth="1"/>
    <col min="12" max="13" width="11.28515625" style="1" bestFit="1" customWidth="1"/>
    <col min="14" max="14" width="11.5703125" style="1" bestFit="1" customWidth="1"/>
    <col min="15" max="15" width="12.5703125" style="1" customWidth="1"/>
    <col min="16" max="16" width="9.85546875" style="1" bestFit="1" customWidth="1"/>
    <col min="17" max="17" width="9.85546875" style="1" customWidth="1"/>
    <col min="18" max="18" width="9.85546875" style="1" bestFit="1" customWidth="1"/>
    <col min="19" max="16384" width="9.140625" style="1"/>
  </cols>
  <sheetData>
    <row r="1" spans="2:26" x14ac:dyDescent="0.25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2:26" x14ac:dyDescent="0.2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2:26" ht="15.75" thickBot="1" x14ac:dyDescent="0.3">
      <c r="B3" s="74" t="s">
        <v>45</v>
      </c>
      <c r="C3" s="74"/>
      <c r="D3" s="93"/>
      <c r="E3" s="93"/>
      <c r="F3" s="93"/>
    </row>
    <row r="4" spans="2:26" ht="15.75" thickBot="1" x14ac:dyDescent="0.3">
      <c r="B4" s="85" t="s">
        <v>18</v>
      </c>
      <c r="C4" s="86"/>
      <c r="D4" s="71" t="s">
        <v>49</v>
      </c>
      <c r="E4" s="72"/>
      <c r="F4" s="35" t="s">
        <v>35</v>
      </c>
      <c r="J4" s="87" t="s">
        <v>40</v>
      </c>
      <c r="K4" s="88"/>
      <c r="L4" s="88"/>
      <c r="M4" s="88"/>
      <c r="N4" s="88"/>
      <c r="O4" s="89"/>
    </row>
    <row r="5" spans="2:26" ht="15.75" customHeight="1" thickBot="1" x14ac:dyDescent="0.3">
      <c r="B5" s="36" t="s">
        <v>8</v>
      </c>
      <c r="C5" s="60">
        <v>407.2</v>
      </c>
      <c r="D5" s="114">
        <v>407.2</v>
      </c>
      <c r="E5" s="116">
        <v>407.2</v>
      </c>
      <c r="F5" s="37" t="s">
        <v>36</v>
      </c>
      <c r="J5" s="90" t="s">
        <v>41</v>
      </c>
      <c r="K5" s="91"/>
      <c r="L5" s="91"/>
      <c r="M5" s="91"/>
      <c r="N5" s="91"/>
      <c r="O5" s="92"/>
      <c r="Q5" s="2"/>
      <c r="R5" s="2"/>
    </row>
    <row r="6" spans="2:26" ht="15.75" thickBot="1" x14ac:dyDescent="0.3">
      <c r="B6" s="36" t="s">
        <v>7</v>
      </c>
      <c r="C6" s="62">
        <v>20</v>
      </c>
      <c r="D6" s="97">
        <v>19</v>
      </c>
      <c r="E6" s="98">
        <v>21</v>
      </c>
      <c r="F6" s="37" t="s">
        <v>37</v>
      </c>
      <c r="J6" s="38" t="s">
        <v>2</v>
      </c>
      <c r="K6" s="39" t="s">
        <v>0</v>
      </c>
      <c r="L6" s="39" t="s">
        <v>3</v>
      </c>
      <c r="M6" s="39" t="s">
        <v>4</v>
      </c>
      <c r="N6" s="39" t="s">
        <v>5</v>
      </c>
      <c r="O6" s="40" t="s">
        <v>6</v>
      </c>
      <c r="Q6" s="2"/>
      <c r="R6" s="2"/>
    </row>
    <row r="7" spans="2:26" x14ac:dyDescent="0.25">
      <c r="B7" s="36" t="s">
        <v>10</v>
      </c>
      <c r="C7" s="63">
        <f>IF(C5&lt;97.4,_xlfn.FORECAST.LINEAR(C5,K8:M8,K7:M7),IF(AND(C5&gt;=97.4,(C5&lt;9329)),_xlfn.FORECAST.LINEAR(C5,M8:O8,M7:O7)))</f>
        <v>0.5412356727637182</v>
      </c>
      <c r="D7" s="99">
        <f>IF(D5&lt;97.4,_xlfn.FORECAST.LINEAR(D5,$K$8:$M$8,$K$7:$M$7),IF(AND(D5&gt;=97.4,(D5&lt;9329)),_xlfn.FORECAST.LINEAR(D5,$M$8:$O$8,$M$7:$O$7)))</f>
        <v>0.5412356727637182</v>
      </c>
      <c r="E7" s="100">
        <f>IF(E5&lt;97.4,_xlfn.FORECAST.LINEAR(E5,$K$8:$M$8,$K$7:$M$7),IF(AND(E5&gt;=97.4,(E5&lt;9329)),_xlfn.FORECAST.LINEAR(E5,$M$8:$O$8,$M$7:$O$7)))</f>
        <v>0.5412356727637182</v>
      </c>
      <c r="F7" s="41" t="s">
        <v>39</v>
      </c>
      <c r="J7" s="42" t="s">
        <v>8</v>
      </c>
      <c r="K7" s="51">
        <v>0.1</v>
      </c>
      <c r="L7" s="51">
        <v>6.4029999999999996</v>
      </c>
      <c r="M7" s="51">
        <v>97.4</v>
      </c>
      <c r="N7" s="51">
        <v>499</v>
      </c>
      <c r="O7" s="56">
        <v>9329</v>
      </c>
      <c r="Q7" s="2">
        <f>K7-'07227420'!M7</f>
        <v>0</v>
      </c>
      <c r="R7" s="2">
        <f>L7-'07227420'!N7</f>
        <v>0</v>
      </c>
      <c r="S7" s="2">
        <f>M7-'07227420'!O7</f>
        <v>0</v>
      </c>
      <c r="T7" s="2">
        <f>N7-'07227420'!P7</f>
        <v>0</v>
      </c>
      <c r="U7" s="2">
        <f>O7-'07227420'!Q7</f>
        <v>0</v>
      </c>
    </row>
    <row r="8" spans="2:26" ht="30" x14ac:dyDescent="0.25">
      <c r="B8" s="36" t="s">
        <v>1</v>
      </c>
      <c r="C8" s="60">
        <f>C7/100</f>
        <v>5.4123567276371824E-3</v>
      </c>
      <c r="D8" s="95">
        <f>D7/100</f>
        <v>5.4123567276371824E-3</v>
      </c>
      <c r="E8" s="96">
        <f>E7/100</f>
        <v>5.4123567276371824E-3</v>
      </c>
      <c r="F8" s="41" t="s">
        <v>42</v>
      </c>
      <c r="J8" s="42" t="s">
        <v>10</v>
      </c>
      <c r="K8" s="51">
        <v>2.3E-2</v>
      </c>
      <c r="L8" s="51">
        <v>0.152</v>
      </c>
      <c r="M8" s="51">
        <v>0.26900000000000002</v>
      </c>
      <c r="N8" s="51">
        <v>0.65700000000000003</v>
      </c>
      <c r="O8" s="56">
        <v>7.03</v>
      </c>
      <c r="Q8" s="2">
        <f>K8-'07227420'!M8</f>
        <v>0</v>
      </c>
      <c r="R8" s="2">
        <f>L8-'07227420'!N8</f>
        <v>0</v>
      </c>
      <c r="S8" s="2">
        <f>M8-'07227420'!O8</f>
        <v>0</v>
      </c>
      <c r="T8" s="2">
        <f>N8-'07227420'!P8</f>
        <v>0</v>
      </c>
      <c r="U8" s="2">
        <f>O8-'07227420'!Q8</f>
        <v>0</v>
      </c>
    </row>
    <row r="9" spans="2:26" ht="15.75" thickBot="1" x14ac:dyDescent="0.3">
      <c r="B9" s="43" t="s">
        <v>9</v>
      </c>
      <c r="C9" s="59">
        <v>-0.06</v>
      </c>
      <c r="D9" s="101">
        <v>-0.06</v>
      </c>
      <c r="E9" s="117">
        <v>-0.06</v>
      </c>
      <c r="F9" s="44" t="s">
        <v>38</v>
      </c>
      <c r="J9" s="38" t="s">
        <v>7</v>
      </c>
      <c r="K9" s="57">
        <v>8</v>
      </c>
      <c r="L9" s="57">
        <v>23</v>
      </c>
      <c r="M9" s="57">
        <v>31</v>
      </c>
      <c r="N9" s="57">
        <v>41</v>
      </c>
      <c r="O9" s="58">
        <v>57</v>
      </c>
      <c r="Q9" s="2">
        <f>K9-'07227420'!M9</f>
        <v>0</v>
      </c>
      <c r="R9" s="2">
        <f>L9-'07227420'!N9</f>
        <v>0</v>
      </c>
      <c r="S9" s="2">
        <f>M9-'07227420'!O9</f>
        <v>0</v>
      </c>
      <c r="T9" s="2">
        <f>N9-'07227420'!P9</f>
        <v>0</v>
      </c>
      <c r="U9" s="2">
        <f>O9-'07227420'!Q9</f>
        <v>0</v>
      </c>
    </row>
    <row r="11" spans="2:26" x14ac:dyDescent="0.25">
      <c r="B11" s="2"/>
      <c r="C11" s="2"/>
      <c r="D11" s="2"/>
      <c r="E11" s="2"/>
      <c r="F11" s="2"/>
      <c r="J11" s="1" t="s">
        <v>44</v>
      </c>
      <c r="N11" s="82" t="s">
        <v>29</v>
      </c>
      <c r="O11" s="83"/>
      <c r="P11" s="83"/>
      <c r="Q11" s="83"/>
      <c r="R11" s="83"/>
      <c r="S11" s="84"/>
    </row>
    <row r="12" spans="2:26" ht="15.75" customHeight="1" x14ac:dyDescent="0.25">
      <c r="N12" s="45" t="s">
        <v>11</v>
      </c>
      <c r="O12" s="46" t="s">
        <v>12</v>
      </c>
      <c r="P12" s="46" t="s">
        <v>13</v>
      </c>
      <c r="Q12" s="46" t="s">
        <v>14</v>
      </c>
      <c r="R12" s="46" t="s">
        <v>15</v>
      </c>
      <c r="S12" s="47" t="s">
        <v>16</v>
      </c>
    </row>
    <row r="13" spans="2:26" x14ac:dyDescent="0.25">
      <c r="N13" s="50">
        <v>1.3979999999999999</v>
      </c>
      <c r="O13" s="51">
        <v>0.27</v>
      </c>
      <c r="P13" s="51">
        <v>0.77600000000000002</v>
      </c>
      <c r="Q13" s="51">
        <v>50.98</v>
      </c>
      <c r="R13" s="51">
        <v>50.3</v>
      </c>
      <c r="S13" s="52">
        <v>-5.7999999999999996E-3</v>
      </c>
      <c r="U13" s="1">
        <f>N13-'07227420'!P13</f>
        <v>0</v>
      </c>
      <c r="V13" s="1">
        <f>O13-'07227420'!Q13</f>
        <v>0</v>
      </c>
      <c r="W13" s="1">
        <f>P13-'07227420'!R13</f>
        <v>0</v>
      </c>
      <c r="X13" s="1">
        <f>Q13-'07227420'!S13</f>
        <v>0</v>
      </c>
      <c r="Y13" s="1">
        <f>R13-'07227420'!T13</f>
        <v>0</v>
      </c>
      <c r="Z13" s="1">
        <f>S13-'07227420'!U13</f>
        <v>0</v>
      </c>
    </row>
    <row r="14" spans="2:26" ht="15.75" thickBot="1" x14ac:dyDescent="0.3">
      <c r="N14" s="50">
        <v>1.3080000000000001</v>
      </c>
      <c r="O14" s="51">
        <v>0.372</v>
      </c>
      <c r="P14" s="51">
        <v>0.88500000000000001</v>
      </c>
      <c r="Q14" s="51">
        <v>16.62</v>
      </c>
      <c r="R14" s="51">
        <v>15.32</v>
      </c>
      <c r="S14" s="52">
        <v>-2.1499999999999998E-2</v>
      </c>
      <c r="U14" s="1">
        <f>N14-'07227420'!P14</f>
        <v>0</v>
      </c>
      <c r="V14" s="1">
        <f>O14-'07227420'!Q14</f>
        <v>0</v>
      </c>
      <c r="W14" s="1">
        <f>P14-'07227420'!R14</f>
        <v>0</v>
      </c>
      <c r="X14" s="1">
        <f>Q14-'07227420'!S14</f>
        <v>0</v>
      </c>
      <c r="Y14" s="1">
        <f>R14-'07227420'!T14</f>
        <v>0</v>
      </c>
      <c r="Z14" s="1">
        <f>S14-'07227420'!U14</f>
        <v>0</v>
      </c>
    </row>
    <row r="15" spans="2:26" ht="15.75" thickBot="1" x14ac:dyDescent="0.3">
      <c r="B15" s="85" t="s">
        <v>19</v>
      </c>
      <c r="C15" s="118"/>
      <c r="D15" s="113"/>
      <c r="E15" s="113"/>
      <c r="F15" s="113"/>
      <c r="N15" s="50">
        <v>1.2030000000000001</v>
      </c>
      <c r="O15" s="51">
        <v>0.40300000000000002</v>
      </c>
      <c r="P15" s="51">
        <v>0.91800000000000004</v>
      </c>
      <c r="Q15" s="51">
        <v>13.62</v>
      </c>
      <c r="R15" s="51">
        <v>11.97</v>
      </c>
      <c r="S15" s="52">
        <v>-2.8899999999999999E-2</v>
      </c>
      <c r="U15" s="1">
        <f>N15-'07227420'!P15</f>
        <v>0</v>
      </c>
      <c r="V15" s="1">
        <f>O15-'07227420'!Q15</f>
        <v>0</v>
      </c>
      <c r="W15" s="1">
        <f>P15-'07227420'!R15</f>
        <v>0</v>
      </c>
      <c r="X15" s="1">
        <f>Q15-'07227420'!S15</f>
        <v>0</v>
      </c>
      <c r="Y15" s="1">
        <f>R15-'07227420'!T15</f>
        <v>0</v>
      </c>
      <c r="Z15" s="1">
        <f>S15-'07227420'!U15</f>
        <v>0</v>
      </c>
    </row>
    <row r="16" spans="2:26" ht="15.75" thickBot="1" x14ac:dyDescent="0.3">
      <c r="B16" s="43"/>
      <c r="C16" s="106" t="s">
        <v>34</v>
      </c>
      <c r="D16" s="107"/>
      <c r="E16" s="108"/>
      <c r="F16" s="112" t="s">
        <v>50</v>
      </c>
      <c r="G16" s="48" t="s">
        <v>30</v>
      </c>
      <c r="H16" s="35" t="s">
        <v>31</v>
      </c>
      <c r="I16" s="70" t="s">
        <v>48</v>
      </c>
      <c r="N16" s="50">
        <v>1.1399999999999999</v>
      </c>
      <c r="O16" s="51">
        <v>0.44600000000000001</v>
      </c>
      <c r="P16" s="51">
        <v>0.94499999999999995</v>
      </c>
      <c r="Q16" s="51">
        <v>11.79</v>
      </c>
      <c r="R16" s="51">
        <v>9.8190000000000008</v>
      </c>
      <c r="S16" s="52">
        <v>-3.7400000000000003E-2</v>
      </c>
      <c r="U16" s="1">
        <f>N16-'07227420'!P16</f>
        <v>0</v>
      </c>
      <c r="V16" s="1">
        <f>O16-'07227420'!Q16</f>
        <v>0</v>
      </c>
      <c r="W16" s="1">
        <f>P16-'07227420'!R16</f>
        <v>0</v>
      </c>
      <c r="X16" s="1">
        <f>Q16-'07227420'!S16</f>
        <v>0</v>
      </c>
      <c r="Y16" s="1">
        <f>R16-'07227420'!T16</f>
        <v>0</v>
      </c>
      <c r="Z16" s="1">
        <f>S16-'07227420'!U16</f>
        <v>0</v>
      </c>
    </row>
    <row r="17" spans="2:26" x14ac:dyDescent="0.25">
      <c r="B17" s="36" t="s">
        <v>20</v>
      </c>
      <c r="C17" s="64">
        <f>($C$6^N13)*($C$8^O13)*(10^(P13*$C$9+Q13-R13*($C$5^S13)))</f>
        <v>3658.0399186430536</v>
      </c>
      <c r="D17" s="103">
        <f>($D$6^$N13)*($D$8^$O13)*(10^($P13*$D$9+$Q13-$R13*($D$5^$S13)))</f>
        <v>3404.9131649250448</v>
      </c>
      <c r="E17" s="105">
        <f>($E$6^$N13)*($E$8^$O13)*(10^($P13*$E$9+$Q13-$R13*($E$5^$S13)))</f>
        <v>3916.2560656102983</v>
      </c>
      <c r="F17" s="31" t="str">
        <f>_xlfn.CONCAT(ROUND(MIN(C17:E17),0)," - ", ROUND(MAX(C17:E17),0))</f>
        <v>3405 - 3916</v>
      </c>
      <c r="G17" s="64">
        <f>10^(LOG10(C17)-1.6*I17)</f>
        <v>1256.7486877848326</v>
      </c>
      <c r="H17" s="33">
        <f>10^(LOG10(C17)+1.6*I17)</f>
        <v>10647.519409765329</v>
      </c>
      <c r="I17" s="70">
        <v>0.28999999999999998</v>
      </c>
      <c r="N17" s="50">
        <v>1.105</v>
      </c>
      <c r="O17" s="51">
        <v>0.47599999999999998</v>
      </c>
      <c r="P17" s="51">
        <v>0.96099999999999997</v>
      </c>
      <c r="Q17" s="51">
        <v>11.17</v>
      </c>
      <c r="R17" s="51">
        <v>8.9969999999999999</v>
      </c>
      <c r="S17" s="52">
        <v>-4.24E-2</v>
      </c>
      <c r="U17" s="1">
        <f>N17-'07227420'!P17</f>
        <v>0</v>
      </c>
      <c r="V17" s="1">
        <f>O17-'07227420'!Q17</f>
        <v>0</v>
      </c>
      <c r="W17" s="1">
        <f>P17-'07227420'!R17</f>
        <v>0</v>
      </c>
      <c r="X17" s="1">
        <f>Q17-'07227420'!S17</f>
        <v>0</v>
      </c>
      <c r="Y17" s="1">
        <f>R17-'07227420'!T17</f>
        <v>0</v>
      </c>
      <c r="Z17" s="1">
        <f>S17-'07227420'!U17</f>
        <v>0</v>
      </c>
    </row>
    <row r="18" spans="2:26" x14ac:dyDescent="0.25">
      <c r="B18" s="36" t="s">
        <v>21</v>
      </c>
      <c r="C18" s="64">
        <f>($C$6^N14)*($C$8^O14)*(10^(P14*$C$9+Q14-R14*($C$5^S14)))</f>
        <v>9168.1002632317068</v>
      </c>
      <c r="D18" s="68">
        <f t="shared" ref="D18:D25" si="0">($D$6^$N14)*($D$8^$O14)*(10^($P14*$D$9+$Q14-$R14*($D$5^$S14)))</f>
        <v>8573.1777833457181</v>
      </c>
      <c r="E18" s="33">
        <f t="shared" ref="E18:E25" si="1">($E$6^$N14)*($E$8^$O14)*(10^($P14*$E$9+$Q14-$R14*($E$5^$S14)))</f>
        <v>9772.2587412336961</v>
      </c>
      <c r="F18" s="31" t="str">
        <f t="shared" ref="F18:F25" si="2">_xlfn.CONCAT(ROUND(MIN(C18:E18),0)," - ", ROUND(MAX(C18:E18),0))</f>
        <v>8573 - 9772</v>
      </c>
      <c r="G18" s="64">
        <f>10^(LOG10(C18)-1.6*I18)</f>
        <v>3517.8664984016764</v>
      </c>
      <c r="H18" s="33">
        <f>10^(LOG10(C18)+1.6*I18)</f>
        <v>23893.477047767152</v>
      </c>
      <c r="I18" s="70">
        <v>0.26</v>
      </c>
      <c r="N18" s="50">
        <v>1.071</v>
      </c>
      <c r="O18" s="51">
        <v>0.50700000000000001</v>
      </c>
      <c r="P18" s="51">
        <v>0.96899999999999997</v>
      </c>
      <c r="Q18" s="51">
        <v>10.82</v>
      </c>
      <c r="R18" s="51">
        <v>8.4480000000000004</v>
      </c>
      <c r="S18" s="52">
        <v>-4.6699999999999998E-2</v>
      </c>
      <c r="U18" s="1">
        <f>N18-'07227420'!P18</f>
        <v>0</v>
      </c>
      <c r="V18" s="1">
        <f>O18-'07227420'!Q18</f>
        <v>0</v>
      </c>
      <c r="W18" s="1">
        <f>P18-'07227420'!R18</f>
        <v>0</v>
      </c>
      <c r="X18" s="1">
        <f>Q18-'07227420'!S18</f>
        <v>0</v>
      </c>
      <c r="Y18" s="1">
        <f>R18-'07227420'!T18</f>
        <v>0</v>
      </c>
      <c r="Z18" s="1">
        <f>S18-'07227420'!U18</f>
        <v>0</v>
      </c>
    </row>
    <row r="19" spans="2:26" x14ac:dyDescent="0.25">
      <c r="B19" s="36" t="s">
        <v>22</v>
      </c>
      <c r="C19" s="64">
        <f>($C$6^N15)*($C$8^O15)*(10^(P15*$C$9+Q15-R15*($C$5^S15)))</f>
        <v>14286.605820602339</v>
      </c>
      <c r="D19" s="68">
        <f t="shared" si="0"/>
        <v>13431.686897069927</v>
      </c>
      <c r="E19" s="33">
        <f t="shared" si="1"/>
        <v>15150.249643273926</v>
      </c>
      <c r="F19" s="31" t="str">
        <f t="shared" si="2"/>
        <v>13432 - 15150</v>
      </c>
      <c r="G19" s="64">
        <f>10^(LOG10(C19)-1.6*I19)</f>
        <v>5687.6002200531202</v>
      </c>
      <c r="H19" s="33">
        <f>10^(LOG10(C19)+1.6*I19)</f>
        <v>35886.331313096838</v>
      </c>
      <c r="I19" s="70">
        <v>0.25</v>
      </c>
      <c r="N19" s="50">
        <v>1.034</v>
      </c>
      <c r="O19" s="51">
        <v>0.53100000000000003</v>
      </c>
      <c r="P19" s="51">
        <v>0.97499999999999998</v>
      </c>
      <c r="Q19" s="51">
        <v>10.61</v>
      </c>
      <c r="R19" s="51">
        <v>8.0579999999999998</v>
      </c>
      <c r="S19" s="52">
        <v>-5.04E-2</v>
      </c>
      <c r="U19" s="1">
        <f>N19-'07227420'!P19</f>
        <v>0</v>
      </c>
      <c r="V19" s="1">
        <f>O19-'07227420'!Q19</f>
        <v>0</v>
      </c>
      <c r="W19" s="1">
        <f>P19-'07227420'!R19</f>
        <v>0</v>
      </c>
      <c r="X19" s="1">
        <f>Q19-'07227420'!S19</f>
        <v>0</v>
      </c>
      <c r="Y19" s="1">
        <f>R19-'07227420'!T19</f>
        <v>0</v>
      </c>
      <c r="Z19" s="1">
        <f>S19-'07227420'!U19</f>
        <v>0</v>
      </c>
    </row>
    <row r="20" spans="2:26" x14ac:dyDescent="0.25">
      <c r="B20" s="36" t="s">
        <v>23</v>
      </c>
      <c r="C20" s="64">
        <f>($C$6^N16)*($C$8^O16)*(10^(P16*$C$9+Q16-R16*($C$5^S16)))</f>
        <v>23065.219580719968</v>
      </c>
      <c r="D20" s="68">
        <f t="shared" si="0"/>
        <v>21755.171109692645</v>
      </c>
      <c r="E20" s="33">
        <f t="shared" si="1"/>
        <v>24384.474144092317</v>
      </c>
      <c r="F20" s="31" t="str">
        <f t="shared" si="2"/>
        <v>21755 - 24384</v>
      </c>
      <c r="G20" s="64">
        <f>10^(LOG10(C20)-1.6*I20)</f>
        <v>8850.2918719926402</v>
      </c>
      <c r="H20" s="33">
        <f>10^(LOG10(C20)+1.6*I20)</f>
        <v>60111.503891797467</v>
      </c>
      <c r="I20" s="70">
        <v>0.26</v>
      </c>
      <c r="N20" s="50">
        <v>1.0209999999999999</v>
      </c>
      <c r="O20" s="51">
        <v>0.54100000000000004</v>
      </c>
      <c r="P20" s="51">
        <v>0.97699999999999998</v>
      </c>
      <c r="Q20" s="51">
        <v>10.56</v>
      </c>
      <c r="R20" s="51">
        <v>7.9429999999999996</v>
      </c>
      <c r="S20" s="52">
        <v>-5.16E-2</v>
      </c>
      <c r="U20" s="1">
        <f>N20-'07227420'!P20</f>
        <v>0</v>
      </c>
      <c r="V20" s="1">
        <f>O20-'07227420'!Q20</f>
        <v>0</v>
      </c>
      <c r="W20" s="1">
        <f>P20-'07227420'!R20</f>
        <v>0</v>
      </c>
      <c r="X20" s="1">
        <f>Q20-'07227420'!S20</f>
        <v>0</v>
      </c>
      <c r="Y20" s="1">
        <f>R20-'07227420'!T20</f>
        <v>0</v>
      </c>
      <c r="Z20" s="1">
        <f>S20-'07227420'!U20</f>
        <v>0</v>
      </c>
    </row>
    <row r="21" spans="2:26" x14ac:dyDescent="0.25">
      <c r="B21" s="36" t="s">
        <v>24</v>
      </c>
      <c r="C21" s="64">
        <f>($C$6^N17)*($C$8^O17)*(10^(P17*$C$9+Q17-R17*($C$5^S17)))</f>
        <v>31456.726992807726</v>
      </c>
      <c r="D21" s="68">
        <f t="shared" si="0"/>
        <v>29723.374748075617</v>
      </c>
      <c r="E21" s="33">
        <f t="shared" si="1"/>
        <v>33199.206881454753</v>
      </c>
      <c r="F21" s="31" t="str">
        <f t="shared" si="2"/>
        <v>29723 - 33199</v>
      </c>
      <c r="G21" s="64">
        <f>10^(LOG10(C21)-1.6*I21)</f>
        <v>11212.785990466249</v>
      </c>
      <c r="H21" s="33">
        <f>10^(LOG10(C21)+1.6*I21)</f>
        <v>88249.760045486721</v>
      </c>
      <c r="I21" s="70">
        <v>0.28000000000000003</v>
      </c>
      <c r="N21" s="53">
        <v>0.98799999999999999</v>
      </c>
      <c r="O21" s="54">
        <v>0.56899999999999995</v>
      </c>
      <c r="P21" s="54">
        <v>0.97599999999999998</v>
      </c>
      <c r="Q21" s="54">
        <v>10.4</v>
      </c>
      <c r="R21" s="54">
        <v>7.6050000000000004</v>
      </c>
      <c r="S21" s="55">
        <v>-5.5399999999999998E-2</v>
      </c>
      <c r="U21" s="1">
        <f>N21-'07227420'!P21</f>
        <v>0</v>
      </c>
      <c r="V21" s="1">
        <f>O21-'07227420'!Q21</f>
        <v>0</v>
      </c>
      <c r="W21" s="1">
        <f>P21-'07227420'!R21</f>
        <v>0</v>
      </c>
      <c r="X21" s="1">
        <f>Q21-'07227420'!S21</f>
        <v>0</v>
      </c>
      <c r="Y21" s="1">
        <f>R21-'07227420'!T21</f>
        <v>0</v>
      </c>
      <c r="Z21" s="1">
        <f>S21-'07227420'!U21</f>
        <v>0</v>
      </c>
    </row>
    <row r="22" spans="2:26" x14ac:dyDescent="0.25">
      <c r="B22" s="36" t="s">
        <v>25</v>
      </c>
      <c r="C22" s="64">
        <f>($C$6^N18)*($C$8^O18)*(10^(P18*$C$9+Q18-R18*($C$5^S18)))</f>
        <v>42196.75133726075</v>
      </c>
      <c r="D22" s="68">
        <f t="shared" si="0"/>
        <v>39941.189801267494</v>
      </c>
      <c r="E22" s="33">
        <f t="shared" si="1"/>
        <v>44460.337578890387</v>
      </c>
      <c r="F22" s="31" t="str">
        <f t="shared" si="2"/>
        <v>39941 - 44460</v>
      </c>
      <c r="G22" s="64">
        <f>10^(LOG10(C22)-1.6*I22)</f>
        <v>13972.657593229225</v>
      </c>
      <c r="H22" s="33">
        <f>10^(LOG10(C22)+1.6*I22)</f>
        <v>127432.15179633685</v>
      </c>
      <c r="I22" s="70">
        <v>0.3</v>
      </c>
    </row>
    <row r="23" spans="2:26" x14ac:dyDescent="0.25">
      <c r="B23" s="36" t="s">
        <v>26</v>
      </c>
      <c r="C23" s="64">
        <f>($C$6^N19)*($C$8^O19)*(10^(P19*$C$9+Q19-R19*($C$5^S19)))</f>
        <v>55053.082462026054</v>
      </c>
      <c r="D23" s="68">
        <f t="shared" si="0"/>
        <v>52209.297343883431</v>
      </c>
      <c r="E23" s="33">
        <f t="shared" si="1"/>
        <v>57901.708111899905</v>
      </c>
      <c r="F23" s="31" t="str">
        <f t="shared" si="2"/>
        <v>52209 - 57902</v>
      </c>
      <c r="G23" s="64">
        <f>10^(LOG10(C23)-1.6*I23)</f>
        <v>16322.310697348703</v>
      </c>
      <c r="H23" s="33">
        <f>10^(LOG10(C23)+1.6*I23)</f>
        <v>185687.06016991579</v>
      </c>
      <c r="I23" s="70">
        <v>0.33</v>
      </c>
    </row>
    <row r="24" spans="2:26" x14ac:dyDescent="0.25">
      <c r="B24" s="36" t="s">
        <v>27</v>
      </c>
      <c r="C24" s="64">
        <f>($C$6^N20)*($C$8^O20)*(10^(P20*$C$9+Q20-R20*($C$5^S20)))</f>
        <v>60005.517817393178</v>
      </c>
      <c r="D24" s="68">
        <f t="shared" si="0"/>
        <v>56943.871265671631</v>
      </c>
      <c r="E24" s="33">
        <f t="shared" si="1"/>
        <v>63070.38211443305</v>
      </c>
      <c r="F24" s="31" t="str">
        <f t="shared" si="2"/>
        <v>56944 - 63070</v>
      </c>
      <c r="G24" s="64">
        <f>10^(LOG10(C24)-1.6*I24)</f>
        <v>17147.12002652997</v>
      </c>
      <c r="H24" s="33">
        <f>10^(LOG10(C24)+1.6*I24)</f>
        <v>209986.40955230707</v>
      </c>
      <c r="I24" s="70">
        <v>0.34</v>
      </c>
    </row>
    <row r="25" spans="2:26" ht="15.75" thickBot="1" x14ac:dyDescent="0.3">
      <c r="B25" s="43" t="s">
        <v>28</v>
      </c>
      <c r="C25" s="32">
        <f>($C$6^N21)*($C$8^O21)*(10^(P21*$C$9+Q21-R21*($C$5^S21)))</f>
        <v>76852.211321859082</v>
      </c>
      <c r="D25" s="69">
        <f t="shared" si="0"/>
        <v>73054.553424305836</v>
      </c>
      <c r="E25" s="67">
        <f t="shared" si="1"/>
        <v>80647.590352616971</v>
      </c>
      <c r="F25" s="31" t="str">
        <f t="shared" si="2"/>
        <v>73055 - 80648</v>
      </c>
      <c r="G25" s="64">
        <f>10^(LOG10(C25)-1.6*I25)</f>
        <v>19663.298326559929</v>
      </c>
      <c r="H25" s="33">
        <f>10^(LOG10(C25)+1.6*I25)</f>
        <v>300369.87116662401</v>
      </c>
      <c r="I25" s="70">
        <v>0.37</v>
      </c>
    </row>
    <row r="28" spans="2:26" ht="15.75" thickBot="1" x14ac:dyDescent="0.3">
      <c r="H28" s="19" t="s">
        <v>43</v>
      </c>
    </row>
    <row r="29" spans="2:26" ht="15.75" thickBot="1" x14ac:dyDescent="0.3">
      <c r="B29" s="49" t="s">
        <v>32</v>
      </c>
      <c r="C29" s="48" t="s">
        <v>34</v>
      </c>
      <c r="D29" s="48" t="s">
        <v>34</v>
      </c>
      <c r="E29" s="48" t="s">
        <v>34</v>
      </c>
      <c r="F29" s="48" t="s">
        <v>46</v>
      </c>
      <c r="G29" s="35" t="s">
        <v>47</v>
      </c>
      <c r="H29" s="35" t="s">
        <v>33</v>
      </c>
    </row>
    <row r="30" spans="2:26" x14ac:dyDescent="0.25">
      <c r="B30" s="12">
        <v>10</v>
      </c>
      <c r="C30" s="119">
        <f t="shared" ref="C30:H33" si="3">C19</f>
        <v>14286.605820602339</v>
      </c>
      <c r="D30" s="103">
        <f t="shared" ref="D30" si="4">D19</f>
        <v>13431.686897069927</v>
      </c>
      <c r="E30" s="105">
        <f t="shared" ref="E30" si="5">E19</f>
        <v>15150.249643273926</v>
      </c>
      <c r="F30" s="68">
        <f>G19</f>
        <v>5687.6002200531202</v>
      </c>
      <c r="G30" s="33">
        <f>H19</f>
        <v>35886.331313096838</v>
      </c>
      <c r="H30" s="65">
        <v>29420</v>
      </c>
    </row>
    <row r="31" spans="2:26" x14ac:dyDescent="0.25">
      <c r="B31" s="12">
        <v>25</v>
      </c>
      <c r="C31" s="120">
        <f t="shared" si="3"/>
        <v>23065.219580719968</v>
      </c>
      <c r="D31" s="68">
        <f t="shared" ref="D31" si="6">D20</f>
        <v>21755.171109692645</v>
      </c>
      <c r="E31" s="33">
        <f t="shared" ref="E31" si="7">E20</f>
        <v>24384.474144092317</v>
      </c>
      <c r="F31" s="68">
        <f>G20</f>
        <v>8850.2918719926402</v>
      </c>
      <c r="G31" s="33">
        <f>H20</f>
        <v>60111.503891797467</v>
      </c>
      <c r="H31" s="65">
        <v>51000</v>
      </c>
    </row>
    <row r="32" spans="2:26" x14ac:dyDescent="0.25">
      <c r="B32" s="12">
        <v>50</v>
      </c>
      <c r="C32" s="120">
        <f t="shared" si="3"/>
        <v>31456.726992807726</v>
      </c>
      <c r="D32" s="68">
        <f t="shared" ref="D32" si="8">D21</f>
        <v>29723.374748075617</v>
      </c>
      <c r="E32" s="33">
        <f t="shared" ref="E32" si="9">E21</f>
        <v>33199.206881454753</v>
      </c>
      <c r="F32" s="68">
        <f>G21</f>
        <v>11212.785990466249</v>
      </c>
      <c r="G32" s="33">
        <f>H21</f>
        <v>88249.760045486721</v>
      </c>
      <c r="H32" s="65">
        <v>68310</v>
      </c>
    </row>
    <row r="33" spans="2:8" x14ac:dyDescent="0.25">
      <c r="B33" s="12">
        <v>100</v>
      </c>
      <c r="C33" s="120">
        <f t="shared" si="3"/>
        <v>42196.75133726075</v>
      </c>
      <c r="D33" s="68">
        <f t="shared" ref="D33" si="10">D22</f>
        <v>39941.189801267494</v>
      </c>
      <c r="E33" s="33">
        <f t="shared" ref="E33" si="11">E22</f>
        <v>44460.337578890387</v>
      </c>
      <c r="F33" s="68">
        <f>G22</f>
        <v>13972.657593229225</v>
      </c>
      <c r="G33" s="33">
        <f>H22</f>
        <v>127432.15179633685</v>
      </c>
      <c r="H33" s="65">
        <v>85530</v>
      </c>
    </row>
    <row r="34" spans="2:8" ht="15.75" thickBot="1" x14ac:dyDescent="0.3">
      <c r="B34" s="15">
        <v>500</v>
      </c>
      <c r="C34" s="121">
        <f>C25</f>
        <v>76852.211321859082</v>
      </c>
      <c r="D34" s="69">
        <f>D25</f>
        <v>73054.553424305836</v>
      </c>
      <c r="E34" s="67">
        <f>E25</f>
        <v>80647.590352616971</v>
      </c>
      <c r="F34" s="69">
        <f>G25</f>
        <v>19663.298326559929</v>
      </c>
      <c r="G34" s="67">
        <f>H25</f>
        <v>300369.87116662401</v>
      </c>
      <c r="H34" s="66">
        <v>122200</v>
      </c>
    </row>
  </sheetData>
  <mergeCells count="9">
    <mergeCell ref="C16:E16"/>
    <mergeCell ref="D4:E4"/>
    <mergeCell ref="B15:C15"/>
    <mergeCell ref="B1:O2"/>
    <mergeCell ref="B3:C3"/>
    <mergeCell ref="B4:C4"/>
    <mergeCell ref="J4:O4"/>
    <mergeCell ref="J5:O5"/>
    <mergeCell ref="N11:S1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54C7D-D34C-4F08-A783-94BB723F4579}">
  <dimension ref="B1:AC34"/>
  <sheetViews>
    <sheetView workbookViewId="0">
      <selection activeCell="E7" sqref="E7"/>
    </sheetView>
  </sheetViews>
  <sheetFormatPr defaultColWidth="9.140625" defaultRowHeight="15" x14ac:dyDescent="0.25"/>
  <cols>
    <col min="1" max="1" width="9.140625" style="1"/>
    <col min="2" max="2" width="18.5703125" style="1" bestFit="1" customWidth="1"/>
    <col min="3" max="7" width="16.42578125" style="1" bestFit="1" customWidth="1"/>
    <col min="8" max="8" width="48.7109375" style="1" customWidth="1"/>
    <col min="9" max="9" width="27" style="1" bestFit="1" customWidth="1"/>
    <col min="10" max="10" width="57.140625" style="1" bestFit="1" customWidth="1"/>
    <col min="11" max="11" width="15.28515625" style="1" customWidth="1"/>
    <col min="12" max="12" width="23.140625" style="1" bestFit="1" customWidth="1"/>
    <col min="13" max="13" width="17.85546875" style="1" bestFit="1" customWidth="1"/>
    <col min="14" max="14" width="14" style="1" bestFit="1" customWidth="1"/>
    <col min="15" max="16" width="11.28515625" style="1" bestFit="1" customWidth="1"/>
    <col min="17" max="17" width="11.5703125" style="1" bestFit="1" customWidth="1"/>
    <col min="18" max="18" width="12.5703125" style="1" customWidth="1"/>
    <col min="19" max="19" width="9.85546875" style="1" bestFit="1" customWidth="1"/>
    <col min="20" max="20" width="9.85546875" style="1" customWidth="1"/>
    <col min="21" max="21" width="9.85546875" style="1" bestFit="1" customWidth="1"/>
    <col min="22" max="16384" width="9.140625" style="1"/>
  </cols>
  <sheetData>
    <row r="1" spans="2:29" x14ac:dyDescent="0.25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spans="2:29" x14ac:dyDescent="0.2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2:29" ht="15.75" thickBot="1" x14ac:dyDescent="0.3">
      <c r="B3" s="74" t="s">
        <v>45</v>
      </c>
      <c r="C3" s="74"/>
      <c r="D3" s="93"/>
      <c r="E3" s="93"/>
      <c r="F3" s="93"/>
      <c r="G3" s="93"/>
      <c r="H3" s="93"/>
      <c r="I3" s="93"/>
    </row>
    <row r="4" spans="2:29" ht="15.75" thickBot="1" x14ac:dyDescent="0.3">
      <c r="B4" s="85" t="s">
        <v>18</v>
      </c>
      <c r="C4" s="86"/>
      <c r="D4" s="86" t="s">
        <v>49</v>
      </c>
      <c r="E4" s="86"/>
      <c r="F4" s="86"/>
      <c r="G4" s="86"/>
      <c r="H4" s="35" t="s">
        <v>35</v>
      </c>
      <c r="M4" s="87" t="s">
        <v>40</v>
      </c>
      <c r="N4" s="88"/>
      <c r="O4" s="88"/>
      <c r="P4" s="88"/>
      <c r="Q4" s="88"/>
      <c r="R4" s="89"/>
    </row>
    <row r="5" spans="2:29" ht="15.75" customHeight="1" thickBot="1" x14ac:dyDescent="0.3">
      <c r="B5" s="122" t="s">
        <v>8</v>
      </c>
      <c r="C5" s="115">
        <v>475</v>
      </c>
      <c r="D5" s="114">
        <v>475</v>
      </c>
      <c r="E5" s="115">
        <v>475</v>
      </c>
      <c r="F5" s="115">
        <v>475</v>
      </c>
      <c r="G5" s="116">
        <v>475</v>
      </c>
      <c r="H5" s="123" t="s">
        <v>36</v>
      </c>
      <c r="M5" s="90" t="s">
        <v>41</v>
      </c>
      <c r="N5" s="91"/>
      <c r="O5" s="91"/>
      <c r="P5" s="91"/>
      <c r="Q5" s="91"/>
      <c r="R5" s="92"/>
      <c r="T5" s="2"/>
      <c r="U5" s="2"/>
    </row>
    <row r="6" spans="2:29" ht="15.75" thickBot="1" x14ac:dyDescent="0.3">
      <c r="B6" s="36" t="s">
        <v>7</v>
      </c>
      <c r="C6" s="61">
        <v>20</v>
      </c>
      <c r="D6" s="97">
        <v>20</v>
      </c>
      <c r="E6" s="61">
        <v>20</v>
      </c>
      <c r="F6" s="61">
        <v>19</v>
      </c>
      <c r="G6" s="98">
        <v>21</v>
      </c>
      <c r="H6" s="37" t="s">
        <v>37</v>
      </c>
      <c r="M6" s="38" t="s">
        <v>2</v>
      </c>
      <c r="N6" s="39" t="s">
        <v>0</v>
      </c>
      <c r="O6" s="39" t="s">
        <v>3</v>
      </c>
      <c r="P6" s="39" t="s">
        <v>4</v>
      </c>
      <c r="Q6" s="39" t="s">
        <v>5</v>
      </c>
      <c r="R6" s="40" t="s">
        <v>6</v>
      </c>
      <c r="T6" s="2"/>
      <c r="U6" s="2"/>
    </row>
    <row r="7" spans="2:29" x14ac:dyDescent="0.25">
      <c r="B7" s="36" t="s">
        <v>10</v>
      </c>
      <c r="C7" s="21">
        <f>IF(C5&lt;97.4,_xlfn.FORECAST.LINEAR(C5,$N$8:$P$8,$N$7:$P$7),IF(AND(C5&gt;=97.4,(C5&lt;9329)),_xlfn.FORECAST.LINEAR(C5,$P$8:$R$8,$P$7:$R$7)))</f>
        <v>0.5905623420529782</v>
      </c>
      <c r="D7" s="99">
        <f>IF(D5&lt;97.4,_xlfn.FORECAST.LINEAR(D5,$N$8:$P$8,$N$7:$P$7),IF(AND(D5&gt;=97.4,(D5&lt;9329)),_xlfn.FORECAST.LINEAR(D5,$P$8:$R$8,$P$7:$R$7)))</f>
        <v>0.5905623420529782</v>
      </c>
      <c r="E7" s="21">
        <f>IF(E5&lt;97.4,_xlfn.FORECAST.LINEAR(E5,$N$8:$P$8,$N$7:$P$7),IF(AND(E5&gt;=97.4,(E5&lt;9329)),_xlfn.FORECAST.LINEAR(E5,$P$8:$R$8,$P$7:$R$7)))</f>
        <v>0.5905623420529782</v>
      </c>
      <c r="F7" s="21">
        <f>IF(F5&lt;97.4,_xlfn.FORECAST.LINEAR(F5,$N$8:$P$8,$N$7:$P$7),IF(AND(F5&gt;=97.4,(F5&lt;9329)),_xlfn.FORECAST.LINEAR(F5,$P$8:$R$8,$P$7:$R$7)))</f>
        <v>0.5905623420529782</v>
      </c>
      <c r="G7" s="100">
        <f>IF(G5&lt;97.4,_xlfn.FORECAST.LINEAR(G5,$N$8:$P$8,$N$7:$P$7),IF(AND(G5&gt;=97.4,(G5&lt;9329)),_xlfn.FORECAST.LINEAR(G5,$P$8:$R$8,$P$7:$R$7)))</f>
        <v>0.5905623420529782</v>
      </c>
      <c r="H7" s="41" t="s">
        <v>39</v>
      </c>
      <c r="M7" s="42" t="s">
        <v>8</v>
      </c>
      <c r="N7" s="51">
        <v>0.1</v>
      </c>
      <c r="O7" s="51">
        <v>6.4029999999999996</v>
      </c>
      <c r="P7" s="51">
        <v>97.4</v>
      </c>
      <c r="Q7" s="51">
        <v>499</v>
      </c>
      <c r="R7" s="56">
        <v>9329</v>
      </c>
      <c r="T7" s="2">
        <f>N7-'07227420'!M7</f>
        <v>0</v>
      </c>
      <c r="U7" s="2">
        <f>O7-'07227420'!N7</f>
        <v>0</v>
      </c>
      <c r="V7" s="2">
        <f>P7-'07227420'!O7</f>
        <v>0</v>
      </c>
      <c r="W7" s="2">
        <f>Q7-'07227420'!P7</f>
        <v>0</v>
      </c>
      <c r="X7" s="2">
        <f>R7-'07227420'!Q7</f>
        <v>0</v>
      </c>
    </row>
    <row r="8" spans="2:29" ht="30" x14ac:dyDescent="0.25">
      <c r="B8" s="36" t="s">
        <v>1</v>
      </c>
      <c r="C8" s="20">
        <f>C7/100</f>
        <v>5.9056234205297816E-3</v>
      </c>
      <c r="D8" s="95">
        <f>D7/100</f>
        <v>5.9056234205297816E-3</v>
      </c>
      <c r="E8" s="20">
        <f>E7/100</f>
        <v>5.9056234205297816E-3</v>
      </c>
      <c r="F8" s="20">
        <f>F7/100</f>
        <v>5.9056234205297816E-3</v>
      </c>
      <c r="G8" s="96">
        <f>G7/100</f>
        <v>5.9056234205297816E-3</v>
      </c>
      <c r="H8" s="41" t="s">
        <v>42</v>
      </c>
      <c r="M8" s="42" t="s">
        <v>10</v>
      </c>
      <c r="N8" s="51">
        <v>2.3E-2</v>
      </c>
      <c r="O8" s="51">
        <v>0.152</v>
      </c>
      <c r="P8" s="51">
        <v>0.26900000000000002</v>
      </c>
      <c r="Q8" s="51">
        <v>0.65700000000000003</v>
      </c>
      <c r="R8" s="56">
        <v>7.03</v>
      </c>
      <c r="T8" s="2">
        <f>N8-'07227420'!M8</f>
        <v>0</v>
      </c>
      <c r="U8" s="2">
        <f>O8-'07227420'!N8</f>
        <v>0</v>
      </c>
      <c r="V8" s="2">
        <f>P8-'07227420'!O8</f>
        <v>0</v>
      </c>
      <c r="W8" s="2">
        <f>Q8-'07227420'!P8</f>
        <v>0</v>
      </c>
      <c r="X8" s="2">
        <f>R8-'07227420'!Q8</f>
        <v>0</v>
      </c>
    </row>
    <row r="9" spans="2:29" ht="15.75" thickBot="1" x14ac:dyDescent="0.3">
      <c r="B9" s="43" t="s">
        <v>9</v>
      </c>
      <c r="C9" s="59">
        <v>-5.3999999999999999E-2</v>
      </c>
      <c r="D9" s="125">
        <v>-4.2000000000000003E-2</v>
      </c>
      <c r="E9" s="124">
        <v>-6.0000000000000001E-3</v>
      </c>
      <c r="F9" s="59">
        <v>-5.3999999999999999E-2</v>
      </c>
      <c r="G9" s="117">
        <v>-5.3999999999999999E-2</v>
      </c>
      <c r="H9" s="44" t="s">
        <v>38</v>
      </c>
      <c r="M9" s="38" t="s">
        <v>7</v>
      </c>
      <c r="N9" s="57">
        <v>8</v>
      </c>
      <c r="O9" s="57">
        <v>23</v>
      </c>
      <c r="P9" s="57">
        <v>31</v>
      </c>
      <c r="Q9" s="57">
        <v>41</v>
      </c>
      <c r="R9" s="58">
        <v>57</v>
      </c>
      <c r="T9" s="2">
        <f>N9-'07227420'!M9</f>
        <v>0</v>
      </c>
      <c r="U9" s="2">
        <f>O9-'07227420'!N9</f>
        <v>0</v>
      </c>
      <c r="V9" s="2">
        <f>P9-'07227420'!O9</f>
        <v>0</v>
      </c>
      <c r="W9" s="2">
        <f>Q9-'07227420'!P9</f>
        <v>0</v>
      </c>
      <c r="X9" s="2">
        <f>R9-'07227420'!Q9</f>
        <v>0</v>
      </c>
    </row>
    <row r="11" spans="2:29" x14ac:dyDescent="0.25">
      <c r="B11" s="2"/>
      <c r="C11" s="2"/>
      <c r="D11" s="2"/>
      <c r="E11" s="2"/>
      <c r="F11" s="2"/>
      <c r="G11" s="2"/>
      <c r="H11" s="2"/>
      <c r="I11" s="2"/>
      <c r="M11" s="1" t="s">
        <v>44</v>
      </c>
      <c r="Q11" s="82" t="s">
        <v>29</v>
      </c>
      <c r="R11" s="83"/>
      <c r="S11" s="83"/>
      <c r="T11" s="83"/>
      <c r="U11" s="83"/>
      <c r="V11" s="84"/>
    </row>
    <row r="12" spans="2:29" ht="15.75" customHeight="1" x14ac:dyDescent="0.25">
      <c r="Q12" s="45" t="s">
        <v>11</v>
      </c>
      <c r="R12" s="46" t="s">
        <v>12</v>
      </c>
      <c r="S12" s="46" t="s">
        <v>13</v>
      </c>
      <c r="T12" s="46" t="s">
        <v>14</v>
      </c>
      <c r="U12" s="46" t="s">
        <v>15</v>
      </c>
      <c r="V12" s="47" t="s">
        <v>16</v>
      </c>
    </row>
    <row r="13" spans="2:29" x14ac:dyDescent="0.25">
      <c r="Q13" s="50">
        <v>1.3979999999999999</v>
      </c>
      <c r="R13" s="51">
        <v>0.27</v>
      </c>
      <c r="S13" s="51">
        <v>0.77600000000000002</v>
      </c>
      <c r="T13" s="51">
        <v>50.98</v>
      </c>
      <c r="U13" s="51">
        <v>50.3</v>
      </c>
      <c r="V13" s="52">
        <v>-5.7999999999999996E-3</v>
      </c>
      <c r="X13" s="1">
        <f>Q13-'07227420'!P13</f>
        <v>0</v>
      </c>
      <c r="Y13" s="1">
        <f>R13-'07227420'!Q13</f>
        <v>0</v>
      </c>
      <c r="Z13" s="1">
        <f>S13-'07227420'!R13</f>
        <v>0</v>
      </c>
      <c r="AA13" s="1">
        <f>T13-'07227420'!S13</f>
        <v>0</v>
      </c>
      <c r="AB13" s="1">
        <f>U13-'07227420'!T13</f>
        <v>0</v>
      </c>
      <c r="AC13" s="1">
        <f>V13-'07227420'!U13</f>
        <v>0</v>
      </c>
    </row>
    <row r="14" spans="2:29" ht="15.75" thickBot="1" x14ac:dyDescent="0.3">
      <c r="Q14" s="50">
        <v>1.3080000000000001</v>
      </c>
      <c r="R14" s="51">
        <v>0.372</v>
      </c>
      <c r="S14" s="51">
        <v>0.88500000000000001</v>
      </c>
      <c r="T14" s="51">
        <v>16.62</v>
      </c>
      <c r="U14" s="51">
        <v>15.32</v>
      </c>
      <c r="V14" s="52">
        <v>-2.1499999999999998E-2</v>
      </c>
      <c r="X14" s="1">
        <f>Q14-'07227420'!P14</f>
        <v>0</v>
      </c>
      <c r="Y14" s="1">
        <f>R14-'07227420'!Q14</f>
        <v>0</v>
      </c>
      <c r="Z14" s="1">
        <f>S14-'07227420'!R14</f>
        <v>0</v>
      </c>
      <c r="AA14" s="1">
        <f>T14-'07227420'!S14</f>
        <v>0</v>
      </c>
      <c r="AB14" s="1">
        <f>U14-'07227420'!T14</f>
        <v>0</v>
      </c>
      <c r="AC14" s="1">
        <f>V14-'07227420'!U14</f>
        <v>0</v>
      </c>
    </row>
    <row r="15" spans="2:29" ht="15.75" thickBot="1" x14ac:dyDescent="0.3">
      <c r="B15" s="85" t="s">
        <v>19</v>
      </c>
      <c r="C15" s="118"/>
      <c r="D15" s="113"/>
      <c r="E15" s="113"/>
      <c r="F15" s="113"/>
      <c r="G15" s="113"/>
      <c r="H15" s="113"/>
      <c r="I15" s="113"/>
      <c r="Q15" s="50">
        <v>1.2030000000000001</v>
      </c>
      <c r="R15" s="51">
        <v>0.40300000000000002</v>
      </c>
      <c r="S15" s="51">
        <v>0.91800000000000004</v>
      </c>
      <c r="T15" s="51">
        <v>13.62</v>
      </c>
      <c r="U15" s="51">
        <v>11.97</v>
      </c>
      <c r="V15" s="52">
        <v>-2.8899999999999999E-2</v>
      </c>
      <c r="X15" s="1">
        <f>Q15-'07227420'!P15</f>
        <v>0</v>
      </c>
      <c r="Y15" s="1">
        <f>R15-'07227420'!Q15</f>
        <v>0</v>
      </c>
      <c r="Z15" s="1">
        <f>S15-'07227420'!R15</f>
        <v>0</v>
      </c>
      <c r="AA15" s="1">
        <f>T15-'07227420'!S15</f>
        <v>0</v>
      </c>
      <c r="AB15" s="1">
        <f>U15-'07227420'!T15</f>
        <v>0</v>
      </c>
      <c r="AC15" s="1">
        <f>V15-'07227420'!U15</f>
        <v>0</v>
      </c>
    </row>
    <row r="16" spans="2:29" ht="15.75" thickBot="1" x14ac:dyDescent="0.3">
      <c r="B16" s="43"/>
      <c r="C16" s="106" t="s">
        <v>34</v>
      </c>
      <c r="D16" s="107"/>
      <c r="E16" s="107"/>
      <c r="F16" s="107"/>
      <c r="G16" s="108"/>
      <c r="H16" s="112" t="s">
        <v>50</v>
      </c>
      <c r="I16" s="112" t="s">
        <v>51</v>
      </c>
      <c r="J16" s="48" t="s">
        <v>30</v>
      </c>
      <c r="K16" s="35" t="s">
        <v>31</v>
      </c>
      <c r="L16" s="70" t="s">
        <v>48</v>
      </c>
      <c r="Q16" s="50">
        <v>1.1399999999999999</v>
      </c>
      <c r="R16" s="51">
        <v>0.44600000000000001</v>
      </c>
      <c r="S16" s="51">
        <v>0.94499999999999995</v>
      </c>
      <c r="T16" s="51">
        <v>11.79</v>
      </c>
      <c r="U16" s="51">
        <v>9.8190000000000008</v>
      </c>
      <c r="V16" s="52">
        <v>-3.7400000000000003E-2</v>
      </c>
      <c r="X16" s="1">
        <f>Q16-'07227420'!P16</f>
        <v>0</v>
      </c>
      <c r="Y16" s="1">
        <f>R16-'07227420'!Q16</f>
        <v>0</v>
      </c>
      <c r="Z16" s="1">
        <f>S16-'07227420'!R16</f>
        <v>0</v>
      </c>
      <c r="AA16" s="1">
        <f>T16-'07227420'!S16</f>
        <v>0</v>
      </c>
      <c r="AB16" s="1">
        <f>U16-'07227420'!T16</f>
        <v>0</v>
      </c>
      <c r="AC16" s="1">
        <f>V16-'07227420'!U16</f>
        <v>0</v>
      </c>
    </row>
    <row r="17" spans="2:29" x14ac:dyDescent="0.25">
      <c r="B17" s="36" t="s">
        <v>20</v>
      </c>
      <c r="C17" s="64">
        <f>($C$6^$Q13)*($C$8^$R13)*(10^($S13*$C$9+$T13-$U13*($C$5^$V13)))</f>
        <v>4183.1594343048482</v>
      </c>
      <c r="D17" s="103">
        <f>($D$6^$Q13)*($D$8^$R13)*(10^($S13*$D$9+$T13-$U13*($D$5^$V13)))</f>
        <v>4273.8218721356689</v>
      </c>
      <c r="E17" s="104">
        <f>($E$6^$Q13)*($E$8^$R13)*(10^($S13*$E$9+$T13-$U13*($E$5^$V13)))</f>
        <v>4557.7701243300617</v>
      </c>
      <c r="F17" s="104">
        <f>($F$6^$Q13)*($F$8^$R13)*(10^($S13*$F$9+$T13-$U13*($F$5^$V13)))</f>
        <v>3893.6957894457637</v>
      </c>
      <c r="G17" s="105">
        <f>($G$6^$Q13)*($G$8^$R13)*(10^($S13*$G$9+$T13-$U13*($G$5^$V13)))</f>
        <v>4478.4430657848898</v>
      </c>
      <c r="H17" s="31" t="str">
        <f>_xlfn.CONCAT(ROUND(MIN(C17,F17,G17),0)," - ", ROUND(MAX(C17,F17,G17),0))</f>
        <v>3894 - 4478</v>
      </c>
      <c r="I17" s="31" t="str">
        <f>_xlfn.CONCAT(ROUND(MIN(C17,D17,E17),0)," - ", ROUND(MAX(C17,D17,E17),0))</f>
        <v>4183 - 4558</v>
      </c>
      <c r="J17" s="64">
        <f>10^(LOG10(C17)-1.6*L17)</f>
        <v>1437.1576709877752</v>
      </c>
      <c r="K17" s="33">
        <f>10^(LOG10(C17)+1.6*L17)</f>
        <v>12175.993773032964</v>
      </c>
      <c r="L17" s="70">
        <v>0.28999999999999998</v>
      </c>
      <c r="Q17" s="50">
        <v>1.105</v>
      </c>
      <c r="R17" s="51">
        <v>0.47599999999999998</v>
      </c>
      <c r="S17" s="51">
        <v>0.96099999999999997</v>
      </c>
      <c r="T17" s="51">
        <v>11.17</v>
      </c>
      <c r="U17" s="51">
        <v>8.9969999999999999</v>
      </c>
      <c r="V17" s="52">
        <v>-4.24E-2</v>
      </c>
      <c r="X17" s="1">
        <f>Q17-'07227420'!P17</f>
        <v>0</v>
      </c>
      <c r="Y17" s="1">
        <f>R17-'07227420'!Q17</f>
        <v>0</v>
      </c>
      <c r="Z17" s="1">
        <f>S17-'07227420'!R17</f>
        <v>0</v>
      </c>
      <c r="AA17" s="1">
        <f>T17-'07227420'!S17</f>
        <v>0</v>
      </c>
      <c r="AB17" s="1">
        <f>U17-'07227420'!T17</f>
        <v>0</v>
      </c>
      <c r="AC17" s="1">
        <f>V17-'07227420'!U17</f>
        <v>0</v>
      </c>
    </row>
    <row r="18" spans="2:29" x14ac:dyDescent="0.25">
      <c r="B18" s="36" t="s">
        <v>21</v>
      </c>
      <c r="C18" s="64">
        <f>($C$6^Q14)*($C$8^R14)*(10^(S14*$C$9+T14-U14*($C$5^V14)))</f>
        <v>10621.51212700931</v>
      </c>
      <c r="D18" s="68">
        <f t="shared" ref="D18:D25" si="0">($D$6^$Q14)*($D$8^$R14)*(10^($S14*$D$9+$T14-$U14*($D$5^$V14)))</f>
        <v>10884.446506597142</v>
      </c>
      <c r="E18" s="31">
        <f t="shared" ref="E18:E25" si="1">($E$6^$Q14)*($E$8^$R14)*(10^($S14*$E$9+$T14-$U14*($E$5^$V14)))</f>
        <v>11712.951615822589</v>
      </c>
      <c r="F18" s="31">
        <f t="shared" ref="F18:F25" si="2">($F$6^$Q14)*($F$8^$R14)*(10^($S14*$F$9+$T14-$U14*($F$5^$V14)))</f>
        <v>9932.2770452245386</v>
      </c>
      <c r="G18" s="33">
        <f t="shared" ref="G18:G25" si="3">($G$6^$Q14)*($G$8^$R14)*(10^($S14*$G$9+$T14-$U14*($G$5^$V14)))</f>
        <v>11321.447382568091</v>
      </c>
      <c r="H18" s="31" t="str">
        <f t="shared" ref="H18:H25" si="4">_xlfn.CONCAT(ROUND(MIN(C18,F18,G18),0)," - ", ROUND(MAX(C18,F18,G18),0))</f>
        <v>9932 - 11321</v>
      </c>
      <c r="I18" s="31" t="str">
        <f t="shared" ref="I18:I25" si="5">_xlfn.CONCAT(ROUND(MIN(C18,D18,E18),0)," - ", ROUND(MAX(C18,D18,E18),0))</f>
        <v>10622 - 11713</v>
      </c>
      <c r="J18" s="64">
        <f t="shared" ref="J18:J20" si="6">10^(LOG10(C18)-1.6*L18)</f>
        <v>4075.5511612175756</v>
      </c>
      <c r="K18" s="33">
        <f t="shared" ref="K18:K20" si="7">10^(LOG10(C18)+1.6*L18)</f>
        <v>27681.291536161687</v>
      </c>
      <c r="L18" s="70">
        <v>0.26</v>
      </c>
      <c r="Q18" s="50">
        <v>1.071</v>
      </c>
      <c r="R18" s="51">
        <v>0.50700000000000001</v>
      </c>
      <c r="S18" s="51">
        <v>0.96899999999999997</v>
      </c>
      <c r="T18" s="51">
        <v>10.82</v>
      </c>
      <c r="U18" s="51">
        <v>8.4480000000000004</v>
      </c>
      <c r="V18" s="52">
        <v>-4.6699999999999998E-2</v>
      </c>
      <c r="X18" s="1">
        <f>Q18-'07227420'!P18</f>
        <v>0</v>
      </c>
      <c r="Y18" s="1">
        <f>R18-'07227420'!Q18</f>
        <v>0</v>
      </c>
      <c r="Z18" s="1">
        <f>S18-'07227420'!R18</f>
        <v>0</v>
      </c>
      <c r="AA18" s="1">
        <f>T18-'07227420'!S18</f>
        <v>0</v>
      </c>
      <c r="AB18" s="1">
        <f>U18-'07227420'!T18</f>
        <v>0</v>
      </c>
      <c r="AC18" s="1">
        <f>V18-'07227420'!U18</f>
        <v>0</v>
      </c>
    </row>
    <row r="19" spans="2:29" x14ac:dyDescent="0.25">
      <c r="B19" s="36" t="s">
        <v>22</v>
      </c>
      <c r="C19" s="64">
        <f>($C$6^Q15)*($C$8^R15)*(10^(S15*$C$9+T15-U15*($C$5^V15)))</f>
        <v>16610.643591899119</v>
      </c>
      <c r="D19" s="68">
        <f t="shared" si="0"/>
        <v>17037.36626451413</v>
      </c>
      <c r="E19" s="31">
        <f t="shared" si="1"/>
        <v>18384.442297895795</v>
      </c>
      <c r="F19" s="31">
        <f t="shared" si="2"/>
        <v>15616.652876603508</v>
      </c>
      <c r="G19" s="33">
        <f t="shared" si="3"/>
        <v>17614.778507419469</v>
      </c>
      <c r="H19" s="31" t="str">
        <f t="shared" si="4"/>
        <v>15617 - 17615</v>
      </c>
      <c r="I19" s="31" t="str">
        <f t="shared" si="5"/>
        <v>16611 - 18384</v>
      </c>
      <c r="J19" s="64">
        <f t="shared" si="6"/>
        <v>6612.8163214435535</v>
      </c>
      <c r="K19" s="33">
        <f t="shared" si="7"/>
        <v>41724.050257133029</v>
      </c>
      <c r="L19" s="70">
        <v>0.25</v>
      </c>
      <c r="Q19" s="50">
        <v>1.034</v>
      </c>
      <c r="R19" s="51">
        <v>0.53100000000000003</v>
      </c>
      <c r="S19" s="51">
        <v>0.97499999999999998</v>
      </c>
      <c r="T19" s="51">
        <v>10.61</v>
      </c>
      <c r="U19" s="51">
        <v>8.0579999999999998</v>
      </c>
      <c r="V19" s="52">
        <v>-5.04E-2</v>
      </c>
      <c r="X19" s="1">
        <f>Q19-'07227420'!P19</f>
        <v>0</v>
      </c>
      <c r="Y19" s="1">
        <f>R19-'07227420'!Q19</f>
        <v>0</v>
      </c>
      <c r="Z19" s="1">
        <f>S19-'07227420'!R19</f>
        <v>0</v>
      </c>
      <c r="AA19" s="1">
        <f>T19-'07227420'!S19</f>
        <v>0</v>
      </c>
      <c r="AB19" s="1">
        <f>U19-'07227420'!T19</f>
        <v>0</v>
      </c>
      <c r="AC19" s="1">
        <f>V19-'07227420'!U19</f>
        <v>0</v>
      </c>
    </row>
    <row r="20" spans="2:29" x14ac:dyDescent="0.25">
      <c r="B20" s="36" t="s">
        <v>23</v>
      </c>
      <c r="C20" s="64">
        <f>($C$6^Q16)*($C$8^R16)*(10^(S16*$C$9+T16-U16*($C$5^V16)))</f>
        <v>26950.401514113477</v>
      </c>
      <c r="D20" s="68">
        <f t="shared" si="0"/>
        <v>27663.37982822131</v>
      </c>
      <c r="E20" s="31">
        <f t="shared" si="1"/>
        <v>29917.495873765973</v>
      </c>
      <c r="F20" s="31">
        <f t="shared" si="2"/>
        <v>25419.684142289752</v>
      </c>
      <c r="G20" s="33">
        <f t="shared" si="3"/>
        <v>28491.875682949532</v>
      </c>
      <c r="H20" s="31" t="str">
        <f t="shared" si="4"/>
        <v>25420 - 28492</v>
      </c>
      <c r="I20" s="31" t="str">
        <f t="shared" si="5"/>
        <v>26950 - 29917</v>
      </c>
      <c r="J20" s="64">
        <f t="shared" si="6"/>
        <v>10341.064329891416</v>
      </c>
      <c r="K20" s="33">
        <f t="shared" si="7"/>
        <v>70236.884579902573</v>
      </c>
      <c r="L20" s="70">
        <v>0.26</v>
      </c>
      <c r="Q20" s="50">
        <v>1.0209999999999999</v>
      </c>
      <c r="R20" s="51">
        <v>0.54100000000000004</v>
      </c>
      <c r="S20" s="51">
        <v>0.97699999999999998</v>
      </c>
      <c r="T20" s="51">
        <v>10.56</v>
      </c>
      <c r="U20" s="51">
        <v>7.9429999999999996</v>
      </c>
      <c r="V20" s="52">
        <v>-5.16E-2</v>
      </c>
      <c r="X20" s="1">
        <f>Q20-'07227420'!P20</f>
        <v>0</v>
      </c>
      <c r="Y20" s="1">
        <f>R20-'07227420'!Q20</f>
        <v>0</v>
      </c>
      <c r="Z20" s="1">
        <f>S20-'07227420'!R20</f>
        <v>0</v>
      </c>
      <c r="AA20" s="1">
        <f>T20-'07227420'!S20</f>
        <v>0</v>
      </c>
      <c r="AB20" s="1">
        <f>U20-'07227420'!T20</f>
        <v>0</v>
      </c>
      <c r="AC20" s="1">
        <f>V20-'07227420'!U20</f>
        <v>0</v>
      </c>
    </row>
    <row r="21" spans="2:29" x14ac:dyDescent="0.25">
      <c r="B21" s="36" t="s">
        <v>24</v>
      </c>
      <c r="C21" s="64">
        <f>($C$6^Q17)*($C$8^R17)*(10^(S17*$C$9+T17-U17*($C$5^V17)))</f>
        <v>36889.097448576409</v>
      </c>
      <c r="D21" s="68">
        <f t="shared" si="0"/>
        <v>37881.749651895494</v>
      </c>
      <c r="E21" s="31">
        <f t="shared" si="1"/>
        <v>41022.868949541531</v>
      </c>
      <c r="F21" s="31">
        <f t="shared" si="2"/>
        <v>34856.406638650406</v>
      </c>
      <c r="G21" s="33">
        <f t="shared" si="3"/>
        <v>38932.492186661555</v>
      </c>
      <c r="H21" s="31" t="str">
        <f t="shared" si="4"/>
        <v>34856 - 38932</v>
      </c>
      <c r="I21" s="31" t="str">
        <f t="shared" si="5"/>
        <v>36889 - 41023</v>
      </c>
      <c r="J21" s="64">
        <f>10^(LOG10(C21)-1.6*L21)</f>
        <v>13149.160596616233</v>
      </c>
      <c r="K21" s="33">
        <f>10^(LOG10(C21)+1.6*L21)</f>
        <v>103489.91485591508</v>
      </c>
      <c r="L21" s="70">
        <v>0.28000000000000003</v>
      </c>
      <c r="Q21" s="53">
        <v>0.98799999999999999</v>
      </c>
      <c r="R21" s="54">
        <v>0.56899999999999995</v>
      </c>
      <c r="S21" s="54">
        <v>0.97599999999999998</v>
      </c>
      <c r="T21" s="54">
        <v>10.4</v>
      </c>
      <c r="U21" s="54">
        <v>7.6050000000000004</v>
      </c>
      <c r="V21" s="55">
        <v>-5.5399999999999998E-2</v>
      </c>
      <c r="X21" s="1">
        <f>Q21-'07227420'!P21</f>
        <v>0</v>
      </c>
      <c r="Y21" s="1">
        <f>R21-'07227420'!Q21</f>
        <v>0</v>
      </c>
      <c r="Z21" s="1">
        <f>S21-'07227420'!R21</f>
        <v>0</v>
      </c>
      <c r="AA21" s="1">
        <f>T21-'07227420'!S21</f>
        <v>0</v>
      </c>
      <c r="AB21" s="1">
        <f>U21-'07227420'!T21</f>
        <v>0</v>
      </c>
      <c r="AC21" s="1">
        <f>V21-'07227420'!U21</f>
        <v>0</v>
      </c>
    </row>
    <row r="22" spans="2:29" x14ac:dyDescent="0.25">
      <c r="B22" s="36" t="s">
        <v>25</v>
      </c>
      <c r="C22" s="64">
        <f>($C$6^Q18)*($C$8^R18)*(10^(S18*$C$9+T18-U18*($C$5^V18)))</f>
        <v>49662.181938365407</v>
      </c>
      <c r="D22" s="68">
        <f t="shared" si="0"/>
        <v>51009.820658535689</v>
      </c>
      <c r="E22" s="31">
        <f t="shared" si="1"/>
        <v>55276.151266380111</v>
      </c>
      <c r="F22" s="31">
        <f t="shared" si="2"/>
        <v>47007.567452089468</v>
      </c>
      <c r="G22" s="33">
        <f t="shared" si="3"/>
        <v>52326.240857653029</v>
      </c>
      <c r="H22" s="31" t="str">
        <f t="shared" si="4"/>
        <v>47008 - 52326</v>
      </c>
      <c r="I22" s="31" t="str">
        <f t="shared" si="5"/>
        <v>49662 - 55276</v>
      </c>
      <c r="J22" s="64">
        <f>10^(LOG10(C22)-1.6*L22)</f>
        <v>16444.69400052341</v>
      </c>
      <c r="K22" s="33">
        <f t="shared" ref="K22:K25" si="8">10^(LOG10(C22)+1.6*L22)</f>
        <v>149977.39178368472</v>
      </c>
      <c r="L22" s="70">
        <v>0.3</v>
      </c>
    </row>
    <row r="23" spans="2:29" x14ac:dyDescent="0.25">
      <c r="B23" s="36" t="s">
        <v>26</v>
      </c>
      <c r="C23" s="64">
        <f>($C$6^Q19)*($C$8^R19)*(10^(S19*$C$9+T19-U19*($C$5^V19)))</f>
        <v>64978.555525621348</v>
      </c>
      <c r="D23" s="68">
        <f t="shared" si="0"/>
        <v>66752.886918421791</v>
      </c>
      <c r="E23" s="31">
        <f t="shared" si="1"/>
        <v>72371.913049909985</v>
      </c>
      <c r="F23" s="31">
        <f t="shared" si="2"/>
        <v>61622.066825290618</v>
      </c>
      <c r="G23" s="33">
        <f t="shared" si="3"/>
        <v>68340.757453001424</v>
      </c>
      <c r="H23" s="31" t="str">
        <f t="shared" si="4"/>
        <v>61622 - 68341</v>
      </c>
      <c r="I23" s="31" t="str">
        <f t="shared" si="5"/>
        <v>64979 - 72372</v>
      </c>
      <c r="J23" s="64">
        <f t="shared" ref="J23:J25" si="9">10^(LOG10(C23)-1.6*L23)</f>
        <v>19265.046106831291</v>
      </c>
      <c r="K23" s="33">
        <f t="shared" si="8"/>
        <v>219164.42113777724</v>
      </c>
      <c r="L23" s="70">
        <v>0.33</v>
      </c>
    </row>
    <row r="24" spans="2:29" x14ac:dyDescent="0.25">
      <c r="B24" s="36" t="s">
        <v>27</v>
      </c>
      <c r="C24" s="64">
        <f>($C$6^Q20)*($C$8^R20)*(10^(S20*$C$9+T20-U20*($C$5^V20)))</f>
        <v>70901.552035554894</v>
      </c>
      <c r="D24" s="68">
        <f t="shared" si="0"/>
        <v>72841.644494955006</v>
      </c>
      <c r="E24" s="31">
        <f t="shared" si="1"/>
        <v>78986.294834296277</v>
      </c>
      <c r="F24" s="31">
        <f t="shared" si="2"/>
        <v>67283.95985075018</v>
      </c>
      <c r="G24" s="33">
        <f t="shared" si="3"/>
        <v>74522.946256329378</v>
      </c>
      <c r="H24" s="31" t="str">
        <f t="shared" si="4"/>
        <v>67284 - 74523</v>
      </c>
      <c r="I24" s="31" t="str">
        <f t="shared" si="5"/>
        <v>70902 - 78986</v>
      </c>
      <c r="J24" s="64">
        <f t="shared" si="9"/>
        <v>20260.760460740868</v>
      </c>
      <c r="K24" s="33">
        <f t="shared" si="8"/>
        <v>248116.55469652032</v>
      </c>
      <c r="L24" s="70">
        <v>0.34</v>
      </c>
    </row>
    <row r="25" spans="2:29" ht="15.75" thickBot="1" x14ac:dyDescent="0.3">
      <c r="B25" s="43" t="s">
        <v>28</v>
      </c>
      <c r="C25" s="32">
        <f>($C$6^Q21)*($C$8^R21)*(10^(S21*$C$9+T21-U21*($C$5^V21)))</f>
        <v>91071.181133958526</v>
      </c>
      <c r="D25" s="69">
        <f t="shared" si="0"/>
        <v>93560.59372487654</v>
      </c>
      <c r="E25" s="32">
        <f t="shared" si="1"/>
        <v>101444.60819528163</v>
      </c>
      <c r="F25" s="32">
        <f t="shared" si="2"/>
        <v>86570.891756149722</v>
      </c>
      <c r="G25" s="67">
        <f t="shared" si="3"/>
        <v>95568.770015748698</v>
      </c>
      <c r="H25" s="31" t="str">
        <f t="shared" si="4"/>
        <v>86571 - 95569</v>
      </c>
      <c r="I25" s="31" t="str">
        <f t="shared" si="5"/>
        <v>91071 - 101445</v>
      </c>
      <c r="J25" s="64">
        <f t="shared" si="9"/>
        <v>23301.343875317445</v>
      </c>
      <c r="K25" s="33">
        <f t="shared" si="8"/>
        <v>355943.42015268479</v>
      </c>
      <c r="L25" s="70">
        <v>0.37</v>
      </c>
    </row>
    <row r="28" spans="2:29" ht="15.75" thickBot="1" x14ac:dyDescent="0.3">
      <c r="J28" s="19" t="s">
        <v>43</v>
      </c>
    </row>
    <row r="29" spans="2:29" ht="15.75" thickBot="1" x14ac:dyDescent="0.3">
      <c r="B29" s="49" t="s">
        <v>32</v>
      </c>
      <c r="C29" s="126" t="s">
        <v>34</v>
      </c>
      <c r="D29" s="127"/>
      <c r="E29" s="127"/>
      <c r="F29" s="127"/>
      <c r="G29" s="128"/>
      <c r="H29" s="48" t="s">
        <v>46</v>
      </c>
      <c r="I29" s="35" t="s">
        <v>47</v>
      </c>
      <c r="J29" s="35" t="s">
        <v>33</v>
      </c>
    </row>
    <row r="30" spans="2:29" x14ac:dyDescent="0.25">
      <c r="B30" s="36">
        <v>10</v>
      </c>
      <c r="C30" s="68">
        <f t="shared" ref="C30:K33" si="10">C19</f>
        <v>16610.643591899119</v>
      </c>
      <c r="D30" s="103">
        <f t="shared" ref="D30:E30" si="11">D19</f>
        <v>17037.36626451413</v>
      </c>
      <c r="E30" s="104">
        <f t="shared" si="11"/>
        <v>18384.442297895795</v>
      </c>
      <c r="F30" s="104">
        <f t="shared" ref="F30:G30" si="12">F19</f>
        <v>15616.652876603508</v>
      </c>
      <c r="G30" s="105">
        <f t="shared" si="12"/>
        <v>17614.778507419469</v>
      </c>
      <c r="H30" s="31">
        <f>J19</f>
        <v>6612.8163214435535</v>
      </c>
      <c r="I30" s="33">
        <f>K19</f>
        <v>41724.050257133029</v>
      </c>
      <c r="J30" s="65">
        <v>29420</v>
      </c>
    </row>
    <row r="31" spans="2:29" x14ac:dyDescent="0.25">
      <c r="B31" s="36">
        <v>25</v>
      </c>
      <c r="C31" s="68">
        <f t="shared" si="10"/>
        <v>26950.401514113477</v>
      </c>
      <c r="D31" s="68">
        <f t="shared" ref="D31:E31" si="13">D20</f>
        <v>27663.37982822131</v>
      </c>
      <c r="E31" s="31">
        <f t="shared" si="13"/>
        <v>29917.495873765973</v>
      </c>
      <c r="F31" s="31">
        <f t="shared" ref="F31:G31" si="14">F20</f>
        <v>25419.684142289752</v>
      </c>
      <c r="G31" s="33">
        <f t="shared" si="14"/>
        <v>28491.875682949532</v>
      </c>
      <c r="H31" s="31">
        <f>J20</f>
        <v>10341.064329891416</v>
      </c>
      <c r="I31" s="33">
        <f>K20</f>
        <v>70236.884579902573</v>
      </c>
      <c r="J31" s="65">
        <v>51000</v>
      </c>
    </row>
    <row r="32" spans="2:29" x14ac:dyDescent="0.25">
      <c r="B32" s="36">
        <v>50</v>
      </c>
      <c r="C32" s="68">
        <f t="shared" si="10"/>
        <v>36889.097448576409</v>
      </c>
      <c r="D32" s="68">
        <f t="shared" ref="D32:E32" si="15">D21</f>
        <v>37881.749651895494</v>
      </c>
      <c r="E32" s="31">
        <f t="shared" si="15"/>
        <v>41022.868949541531</v>
      </c>
      <c r="F32" s="31">
        <f t="shared" ref="F32:G32" si="16">F21</f>
        <v>34856.406638650406</v>
      </c>
      <c r="G32" s="33">
        <f t="shared" si="16"/>
        <v>38932.492186661555</v>
      </c>
      <c r="H32" s="31">
        <f>J21</f>
        <v>13149.160596616233</v>
      </c>
      <c r="I32" s="33">
        <f>K21</f>
        <v>103489.91485591508</v>
      </c>
      <c r="J32" s="65">
        <v>68310</v>
      </c>
    </row>
    <row r="33" spans="2:10" x14ac:dyDescent="0.25">
      <c r="B33" s="36">
        <v>100</v>
      </c>
      <c r="C33" s="68">
        <f t="shared" si="10"/>
        <v>49662.181938365407</v>
      </c>
      <c r="D33" s="68">
        <f t="shared" ref="D33:E33" si="17">D22</f>
        <v>51009.820658535689</v>
      </c>
      <c r="E33" s="31">
        <f t="shared" si="17"/>
        <v>55276.151266380111</v>
      </c>
      <c r="F33" s="31">
        <f t="shared" ref="F33:G33" si="18">F22</f>
        <v>47007.567452089468</v>
      </c>
      <c r="G33" s="33">
        <f t="shared" si="18"/>
        <v>52326.240857653029</v>
      </c>
      <c r="H33" s="31">
        <f>J22</f>
        <v>16444.69400052341</v>
      </c>
      <c r="I33" s="33">
        <f>K22</f>
        <v>149977.39178368472</v>
      </c>
      <c r="J33" s="65">
        <v>85530</v>
      </c>
    </row>
    <row r="34" spans="2:10" ht="15.75" thickBot="1" x14ac:dyDescent="0.3">
      <c r="B34" s="43">
        <v>500</v>
      </c>
      <c r="C34" s="69">
        <f>C25</f>
        <v>91071.181133958526</v>
      </c>
      <c r="D34" s="69">
        <f>D25</f>
        <v>93560.59372487654</v>
      </c>
      <c r="E34" s="32">
        <f>E25</f>
        <v>101444.60819528163</v>
      </c>
      <c r="F34" s="32">
        <f>F25</f>
        <v>86570.891756149722</v>
      </c>
      <c r="G34" s="67">
        <f>G25</f>
        <v>95568.770015748698</v>
      </c>
      <c r="H34" s="32">
        <f>J25</f>
        <v>23301.343875317445</v>
      </c>
      <c r="I34" s="67">
        <f>K25</f>
        <v>355943.42015268479</v>
      </c>
      <c r="J34" s="66">
        <v>122200</v>
      </c>
    </row>
  </sheetData>
  <mergeCells count="10">
    <mergeCell ref="C16:G16"/>
    <mergeCell ref="D4:G4"/>
    <mergeCell ref="C29:G29"/>
    <mergeCell ref="B15:C15"/>
    <mergeCell ref="B1:R2"/>
    <mergeCell ref="B3:C3"/>
    <mergeCell ref="B4:C4"/>
    <mergeCell ref="M4:R4"/>
    <mergeCell ref="M5:R5"/>
    <mergeCell ref="Q11:V11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07227420</vt:lpstr>
      <vt:lpstr>07227890</vt:lpstr>
      <vt:lpstr>07235000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Alizadeh, Babak</dc:creator>
  <cp:lastModifiedBy>Campbell, Douglas (Toronto)</cp:lastModifiedBy>
  <dcterms:created xsi:type="dcterms:W3CDTF">2021-11-23T15:15:00Z</dcterms:created>
  <dcterms:modified xsi:type="dcterms:W3CDTF">2022-12-20T16:33:25Z</dcterms:modified>
</cp:coreProperties>
</file>