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ml.chartshapes+xml"/>
  <Override PartName="/xl/charts/chart13.xml" ContentType="application/vnd.openxmlformats-officedocument.drawingml.chart+xml"/>
  <Override PartName="/xl/drawings/drawing6.xml" ContentType="application/vnd.openxmlformats-officedocument.drawingml.chartshapes+xml"/>
  <Override PartName="/xl/charts/chart14.xml" ContentType="application/vnd.openxmlformats-officedocument.drawingml.chart+xml"/>
  <Override PartName="/xl/drawings/drawing7.xml" ContentType="application/vnd.openxmlformats-officedocument.drawingml.chartshapes+xml"/>
  <Override PartName="/xl/charts/chart15.xml" ContentType="application/vnd.openxmlformats-officedocument.drawingml.chart+xml"/>
  <Override PartName="/xl/drawings/drawing8.xml" ContentType="application/vnd.openxmlformats-officedocument.drawingml.chartshapes+xml"/>
  <Override PartName="/xl/charts/chart16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12840"/>
  </bookViews>
  <sheets>
    <sheet name="Calibration Points_Basins" sheetId="1" r:id="rId1"/>
    <sheet name="SIR 2009-5087 (L Moment Based)" sheetId="2" r:id="rId2"/>
    <sheet name="FIS Report" sheetId="10" r:id="rId3"/>
    <sheet name="Work Area Test Plots" sheetId="3" state="hidden" r:id="rId4"/>
    <sheet name="Sheet1" sheetId="9" state="hidden" r:id="rId5"/>
    <sheet name="Sheet2" sheetId="11" r:id="rId6"/>
  </sheets>
  <definedNames>
    <definedName name="_xlnm.Database">'Calibration Points_Basins'!$A$2:$J$44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3" i="11"/>
  <c r="G4" i="2" l="1"/>
  <c r="G5" i="2"/>
  <c r="L4" i="10" l="1"/>
  <c r="N4" i="10" s="1"/>
  <c r="L5" i="10"/>
  <c r="N5" i="10" s="1"/>
  <c r="L6" i="10"/>
  <c r="N6" i="10" s="1"/>
  <c r="L3" i="10"/>
  <c r="N3" i="10" s="1"/>
  <c r="K4" i="10"/>
  <c r="M4" i="10" s="1"/>
  <c r="K5" i="10"/>
  <c r="M5" i="10" s="1"/>
  <c r="K6" i="10"/>
  <c r="M6" i="10" s="1"/>
  <c r="K3" i="10"/>
  <c r="M3" i="10" s="1"/>
  <c r="F3" i="2" l="1"/>
  <c r="F4" i="2"/>
  <c r="F5" i="2"/>
  <c r="G6" i="2" l="1"/>
  <c r="G7" i="2"/>
  <c r="G3" i="2"/>
  <c r="F6" i="2"/>
  <c r="F7" i="2"/>
  <c r="E4" i="2"/>
  <c r="E5" i="2"/>
  <c r="E6" i="2"/>
  <c r="E7" i="2"/>
  <c r="E3" i="2"/>
  <c r="D4" i="2"/>
  <c r="D5" i="2"/>
  <c r="D6" i="2"/>
  <c r="D7" i="2"/>
  <c r="D3" i="2"/>
  <c r="V83" i="3" l="1"/>
  <c r="V82" i="3"/>
  <c r="V80" i="3"/>
  <c r="V81" i="3"/>
  <c r="V103" i="3" l="1"/>
  <c r="V89" i="3"/>
  <c r="V87" i="3"/>
  <c r="V88" i="3"/>
  <c r="V85" i="3" l="1"/>
  <c r="J5" i="2" l="1"/>
  <c r="L5" i="2"/>
  <c r="M5" i="2"/>
  <c r="U5" i="2" s="1"/>
  <c r="N5" i="2"/>
  <c r="V5" i="2" s="1"/>
  <c r="K5" i="2"/>
  <c r="H5" i="2"/>
  <c r="I5" i="2"/>
  <c r="O5" i="2" l="1"/>
  <c r="P5" i="2"/>
  <c r="R5" i="2" s="1"/>
  <c r="Q5" i="2"/>
  <c r="S5" i="2" s="1"/>
  <c r="N7" i="2"/>
  <c r="K4" i="2"/>
  <c r="K7" i="2"/>
  <c r="L7" i="2"/>
  <c r="I7" i="2"/>
  <c r="H7" i="2"/>
  <c r="J4" i="2"/>
  <c r="I4" i="2"/>
  <c r="H4" i="2"/>
  <c r="L4" i="2"/>
  <c r="L6" i="2"/>
  <c r="N4" i="2"/>
  <c r="V4" i="2" s="1"/>
  <c r="J3" i="2"/>
  <c r="L3" i="2"/>
  <c r="H6" i="2"/>
  <c r="K6" i="2"/>
  <c r="N6" i="2"/>
  <c r="I6" i="2"/>
  <c r="K3" i="2"/>
  <c r="M7" i="2"/>
  <c r="N3" i="2"/>
  <c r="V3" i="2" s="1"/>
  <c r="I3" i="2"/>
  <c r="J7" i="2"/>
  <c r="M6" i="2"/>
  <c r="H3" i="2"/>
  <c r="J6" i="2"/>
  <c r="M4" i="2"/>
  <c r="U4" i="2" s="1"/>
  <c r="M3" i="2"/>
  <c r="U3" i="2" s="1"/>
  <c r="S16" i="2" l="1"/>
  <c r="S15" i="2"/>
  <c r="R11" i="2"/>
  <c r="R12" i="2" s="1"/>
  <c r="R13" i="2" s="1"/>
  <c r="R14" i="2" s="1"/>
  <c r="Q3" i="2"/>
  <c r="O7" i="2"/>
  <c r="P7" i="2"/>
  <c r="R7" i="2" s="1"/>
  <c r="Q7" i="2"/>
  <c r="S7" i="2" s="1"/>
  <c r="O4" i="2"/>
  <c r="P4" i="2"/>
  <c r="R4" i="2" s="1"/>
  <c r="Q4" i="2"/>
  <c r="S4" i="2" s="1"/>
  <c r="O6" i="2"/>
  <c r="Q6" i="2"/>
  <c r="S6" i="2" s="1"/>
  <c r="P6" i="2"/>
  <c r="R6" i="2" s="1"/>
  <c r="P3" i="2"/>
  <c r="O3" i="2"/>
  <c r="S3" i="2" l="1"/>
  <c r="T13" i="2"/>
  <c r="V13" i="2" s="1"/>
  <c r="R10" i="2"/>
  <c r="R3" i="2"/>
  <c r="T14" i="2"/>
  <c r="V14" i="2" s="1"/>
</calcChain>
</file>

<file path=xl/comments1.xml><?xml version="1.0" encoding="utf-8"?>
<comments xmlns="http://schemas.openxmlformats.org/spreadsheetml/2006/main">
  <authors>
    <author>Rana, Samagra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Rana, Samagra:</t>
        </r>
        <r>
          <rPr>
            <sz val="9"/>
            <color indexed="81"/>
            <rFont val="Tahoma"/>
            <family val="2"/>
          </rPr>
          <t xml:space="preserve">
Merge all basins upstream and calculate cum area in sq miles in ArcMap. </t>
        </r>
      </text>
    </comment>
    <comment ref="H2" authorId="0">
      <text>
        <r>
          <rPr>
            <b/>
            <sz val="9"/>
            <color indexed="81"/>
            <rFont val="Tahoma"/>
            <family val="2"/>
          </rPr>
          <t>Rana, Samagra:</t>
        </r>
        <r>
          <rPr>
            <sz val="9"/>
            <color indexed="81"/>
            <rFont val="Tahoma"/>
            <family val="2"/>
          </rPr>
          <t xml:space="preserve">
Slope to be calculated manually using longest flow path. 
Extend 1sq mi to represent longest flow path. 
Extract elevation of the upper and lower end. 
Slope = (Upper Elevation - Lower Elevation)/Length of LFP
</t>
        </r>
      </text>
    </comment>
    <comment ref="I2" authorId="0">
      <text>
        <r>
          <rPr>
            <b/>
            <sz val="9"/>
            <color indexed="81"/>
            <rFont val="Tahoma"/>
            <family val="2"/>
          </rPr>
          <t>Rana, Samagra:</t>
        </r>
        <r>
          <rPr>
            <sz val="9"/>
            <color indexed="81"/>
            <rFont val="Tahoma"/>
            <family val="2"/>
          </rPr>
          <t xml:space="preserve">
PREC to be estimated using zonal statistics or WISE dummy model
N:\Texas_2d\BLE_2D_Reference\TWDB\RegressionAnalysis\SHP\TX_Precip_1981_2010_4204.shp</t>
        </r>
      </text>
    </comment>
    <comment ref="J2" authorId="0">
      <text>
        <r>
          <rPr>
            <b/>
            <sz val="9"/>
            <color indexed="81"/>
            <rFont val="Tahoma"/>
            <family val="2"/>
          </rPr>
          <t>Rana, Samagra:</t>
        </r>
        <r>
          <rPr>
            <sz val="9"/>
            <color indexed="81"/>
            <rFont val="Tahoma"/>
            <family val="2"/>
          </rPr>
          <t xml:space="preserve">
OmegaEM to be estimated using Zonal Statistics or a dummy WISE model
N:\Texas_2d\BLE_2D_Reference\TWDB\RegressionAnalysis\SHP\OmegaEM_TX4204.shp</t>
        </r>
      </text>
    </comment>
  </commentList>
</comments>
</file>

<file path=xl/comments2.xml><?xml version="1.0" encoding="utf-8"?>
<comments xmlns="http://schemas.openxmlformats.org/spreadsheetml/2006/main">
  <authors>
    <author>Rana, Samagra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Rana, Samagra:</t>
        </r>
        <r>
          <rPr>
            <sz val="9"/>
            <color indexed="81"/>
            <rFont val="Tahoma"/>
            <family val="2"/>
          </rPr>
          <t xml:space="preserve">
Merge all basins upstream and calculate cum area in sq miles in ArcMap. </t>
        </r>
      </text>
    </comment>
    <comment ref="H2" authorId="0">
      <text>
        <r>
          <rPr>
            <b/>
            <sz val="9"/>
            <color indexed="81"/>
            <rFont val="Tahoma"/>
            <family val="2"/>
          </rPr>
          <t>Rana, Samagra:</t>
        </r>
        <r>
          <rPr>
            <sz val="9"/>
            <color indexed="81"/>
            <rFont val="Tahoma"/>
            <family val="2"/>
          </rPr>
          <t xml:space="preserve">
Slope to be calculated manually using longest flow path. 
Extend 1sq mi to represent longest flow path. 
Extract elevation of the upper and lower end. 
Slope = (Upper Elevation - Lower Elevation)/Length of LFP
</t>
        </r>
      </text>
    </comment>
    <comment ref="I2" authorId="0">
      <text>
        <r>
          <rPr>
            <b/>
            <sz val="9"/>
            <color indexed="81"/>
            <rFont val="Tahoma"/>
            <family val="2"/>
          </rPr>
          <t>Rana, Samagra:</t>
        </r>
        <r>
          <rPr>
            <sz val="9"/>
            <color indexed="81"/>
            <rFont val="Tahoma"/>
            <family val="2"/>
          </rPr>
          <t xml:space="preserve">
PREC to be estimated using zonal statistics or WISE dummy model
N:\Texas_2d\BLE_2D_Reference\TWDB\RegressionAnalysis\SHP\TX_Precip_1981_2010_4204.shp</t>
        </r>
      </text>
    </comment>
    <comment ref="J2" authorId="0">
      <text>
        <r>
          <rPr>
            <b/>
            <sz val="9"/>
            <color indexed="81"/>
            <rFont val="Tahoma"/>
            <family val="2"/>
          </rPr>
          <t>Rana, Samagra:</t>
        </r>
        <r>
          <rPr>
            <sz val="9"/>
            <color indexed="81"/>
            <rFont val="Tahoma"/>
            <family val="2"/>
          </rPr>
          <t xml:space="preserve">
OmegaEM to be estimated using Zonal Statistics or a dummy WISE model
N:\Texas_2d\BLE_2D_Reference\TWDB\RegressionAnalysis\SHP\OmegaEM_TX4204.shp</t>
        </r>
      </text>
    </comment>
  </commentList>
</comments>
</file>

<file path=xl/sharedStrings.xml><?xml version="1.0" encoding="utf-8"?>
<sst xmlns="http://schemas.openxmlformats.org/spreadsheetml/2006/main" count="429" uniqueCount="186">
  <si>
    <t>Basin_ID</t>
  </si>
  <si>
    <t>Stream_nam</t>
  </si>
  <si>
    <t>Cum_SqMi</t>
  </si>
  <si>
    <t>AreaSqMi</t>
  </si>
  <si>
    <t>StrLength</t>
  </si>
  <si>
    <t>MainChSL</t>
  </si>
  <si>
    <t>MainChSLno</t>
  </si>
  <si>
    <t>PREC</t>
  </si>
  <si>
    <t>OmegaEM</t>
  </si>
  <si>
    <t>WA8-1</t>
  </si>
  <si>
    <t>HUC 130401000501</t>
  </si>
  <si>
    <t>HUC 130401000402</t>
  </si>
  <si>
    <t>HUC 130401000401</t>
  </si>
  <si>
    <t>WA10-1</t>
  </si>
  <si>
    <t>HUC 130401000405-2</t>
  </si>
  <si>
    <t>HUC 130401000405</t>
  </si>
  <si>
    <t>WA6-1</t>
  </si>
  <si>
    <t>WA5-2</t>
  </si>
  <si>
    <t>WA5-4</t>
  </si>
  <si>
    <t>WA5-5</t>
  </si>
  <si>
    <t>WA5-7</t>
  </si>
  <si>
    <t>WA5-6</t>
  </si>
  <si>
    <t>WA5-8</t>
  </si>
  <si>
    <t>WA5-10</t>
  </si>
  <si>
    <t>Q2</t>
  </si>
  <si>
    <t>Q5</t>
  </si>
  <si>
    <t>Q10</t>
  </si>
  <si>
    <t>Q25</t>
  </si>
  <si>
    <t>Q50</t>
  </si>
  <si>
    <t>Q100</t>
  </si>
  <si>
    <t>Q500</t>
  </si>
  <si>
    <t>Q100_sq_mile</t>
  </si>
  <si>
    <t>Q10PAC</t>
  </si>
  <si>
    <t>Q4PAC</t>
  </si>
  <si>
    <t>Q2PAC</t>
  </si>
  <si>
    <t>Q1PAC</t>
  </si>
  <si>
    <t>Q0_2PAC</t>
  </si>
  <si>
    <t>SAN FELIPE ARROYO 2</t>
  </si>
  <si>
    <t>Work Area</t>
  </si>
  <si>
    <t>Drainage Area</t>
  </si>
  <si>
    <t>Flow</t>
  </si>
  <si>
    <t>Enter Comparison Data Here:</t>
  </si>
  <si>
    <t>Location 1</t>
  </si>
  <si>
    <t>Location 2</t>
  </si>
  <si>
    <t>Location 3</t>
  </si>
  <si>
    <t>WA ? Test</t>
  </si>
  <si>
    <t>2D Work Area</t>
  </si>
  <si>
    <t>2D Connection Name</t>
  </si>
  <si>
    <t>Regression Basin Name</t>
  </si>
  <si>
    <t>RAS Peak Flow</t>
  </si>
  <si>
    <t>Regression Peak Flow</t>
  </si>
  <si>
    <t>WA2</t>
  </si>
  <si>
    <t>WA7</t>
  </si>
  <si>
    <t>WA10</t>
  </si>
  <si>
    <t>c1</t>
  </si>
  <si>
    <t>c2</t>
  </si>
  <si>
    <t>c3</t>
  </si>
  <si>
    <t>c5</t>
  </si>
  <si>
    <t>Outlet</t>
  </si>
  <si>
    <t>Outlet2</t>
  </si>
  <si>
    <t>WA11</t>
  </si>
  <si>
    <t>WA11_West</t>
  </si>
  <si>
    <t>Wa11-1</t>
  </si>
  <si>
    <t>Drainage Area (sq.mi)</t>
  </si>
  <si>
    <t>A4_100-A2_200</t>
  </si>
  <si>
    <t>A2_200 (EP_TX)</t>
  </si>
  <si>
    <t>A8_200</t>
  </si>
  <si>
    <t>FP21A_200 (EP_TX)</t>
  </si>
  <si>
    <t>S07_100</t>
  </si>
  <si>
    <t>Stream8_I10</t>
  </si>
  <si>
    <t>WA9</t>
  </si>
  <si>
    <t>Main model</t>
  </si>
  <si>
    <t>SAF_600</t>
  </si>
  <si>
    <t>test_area</t>
  </si>
  <si>
    <t>WA8</t>
  </si>
  <si>
    <t>test_outflow</t>
  </si>
  <si>
    <t>WA4</t>
  </si>
  <si>
    <t>South Outflow (BC) – Val</t>
  </si>
  <si>
    <t xml:space="preserve">BASIN WA 4-2 </t>
  </si>
  <si>
    <t>South Outflow (BC) – Val2</t>
  </si>
  <si>
    <t>BASIN WA 4-1</t>
  </si>
  <si>
    <t>WA3</t>
  </si>
  <si>
    <t>WA 3-1</t>
  </si>
  <si>
    <t>WA 3-3</t>
  </si>
  <si>
    <t xml:space="preserve">WA3 </t>
  </si>
  <si>
    <t>WA 3-5</t>
  </si>
  <si>
    <t>WA 3-6</t>
  </si>
  <si>
    <t>WA 5</t>
  </si>
  <si>
    <t>Clipped Out</t>
  </si>
  <si>
    <t>East</t>
  </si>
  <si>
    <t>West</t>
  </si>
  <si>
    <t>WA6</t>
  </si>
  <si>
    <t>East Outflow</t>
  </si>
  <si>
    <t>Outflow 1</t>
  </si>
  <si>
    <t>Profile Line WA5_2</t>
  </si>
  <si>
    <t>WA1</t>
  </si>
  <si>
    <t>QC1</t>
  </si>
  <si>
    <t>QC2</t>
  </si>
  <si>
    <t>QC3</t>
  </si>
  <si>
    <t>Sparks_Arroyo_FI</t>
  </si>
  <si>
    <t>Stream_4_flow</t>
  </si>
  <si>
    <t>okay</t>
  </si>
  <si>
    <t>much goes along side of road</t>
  </si>
  <si>
    <t>Seems to be noncontributing drainage area</t>
  </si>
  <si>
    <t>- Error Bar</t>
  </si>
  <si>
    <t>+ Error Bar</t>
  </si>
  <si>
    <t>Diagnosis</t>
  </si>
  <si>
    <t>ARF Q</t>
  </si>
  <si>
    <t>Anthony</t>
  </si>
  <si>
    <t>Hayden</t>
  </si>
  <si>
    <t>SAF_500</t>
  </si>
  <si>
    <t>?</t>
  </si>
  <si>
    <t>Megan</t>
  </si>
  <si>
    <t>Ryan</t>
  </si>
  <si>
    <t>Chris</t>
  </si>
  <si>
    <t>waiting on 7</t>
  </si>
  <si>
    <t>Waiting on 9</t>
  </si>
  <si>
    <t>run</t>
  </si>
  <si>
    <t>waiting on 9</t>
  </si>
  <si>
    <t>No reduction runs</t>
  </si>
  <si>
    <t>Fabens DS I10</t>
  </si>
  <si>
    <t>Fabens US I10</t>
  </si>
  <si>
    <t>Fabens 3</t>
  </si>
  <si>
    <t>no ARF precip applied; just inflows from US</t>
  </si>
  <si>
    <t>Unnamed 118 US I10</t>
  </si>
  <si>
    <t>UN Arroyo J / Ft Bliss Arroyo 6</t>
  </si>
  <si>
    <t>WA5</t>
  </si>
  <si>
    <t>Profile line "1"</t>
  </si>
  <si>
    <t>BC Line "outflow_WA9"</t>
  </si>
  <si>
    <t>Profile line "Martin Canyon"</t>
  </si>
  <si>
    <t>Profile line "2"</t>
  </si>
  <si>
    <t xml:space="preserve">Work Area </t>
  </si>
  <si>
    <t>Basin 7</t>
  </si>
  <si>
    <t>Basin 8</t>
  </si>
  <si>
    <t xml:space="preserve">East Galveston </t>
  </si>
  <si>
    <t xml:space="preserve">Regression Analysis Flows (cfs) </t>
  </si>
  <si>
    <t>100-yr Peak Discharge exported from HEC-RAS using Profile Lines</t>
  </si>
  <si>
    <t>Location</t>
  </si>
  <si>
    <t>East Fork Double Bayou-I-10</t>
  </si>
  <si>
    <t>Spindletop at Highway 124</t>
  </si>
  <si>
    <t>Oyster Bayou-Lone Star Canal</t>
  </si>
  <si>
    <t>Confluence East/West Fork</t>
  </si>
  <si>
    <t>N:\Texas_2d\BLE_2D_Reference\TWDB\GageAnalysis\FIS_Reports\48071CV001B_Chambers_1.pdf</t>
  </si>
  <si>
    <t>Table 10: Summary of Discharges</t>
  </si>
  <si>
    <t>Flooding Source</t>
  </si>
  <si>
    <t>Double Bayou East Fork</t>
  </si>
  <si>
    <t xml:space="preserve">At Interstate Highway 10 </t>
  </si>
  <si>
    <t>Drainage Area (sqmi)</t>
  </si>
  <si>
    <t>10PAC</t>
  </si>
  <si>
    <t>4PAC</t>
  </si>
  <si>
    <t>2PAC</t>
  </si>
  <si>
    <t>1PAC</t>
  </si>
  <si>
    <t>0.2PAC</t>
  </si>
  <si>
    <t>-</t>
  </si>
  <si>
    <t>Spindletop Bayou</t>
  </si>
  <si>
    <t>At Highway 124</t>
  </si>
  <si>
    <t>Oyster Bayou</t>
  </si>
  <si>
    <t>At Lone Star Canal</t>
  </si>
  <si>
    <t>At confluence with Double Bayou West Fork</t>
  </si>
  <si>
    <t>Type of Study (Hydrologic)</t>
  </si>
  <si>
    <t>HEC-1</t>
  </si>
  <si>
    <t>Title</t>
  </si>
  <si>
    <t>1PAC Lower Bound</t>
  </si>
  <si>
    <t>1PAC Upper Bound</t>
  </si>
  <si>
    <t>Corresponding HEC-RAS 2D 1PAC Q using Profile Lines</t>
  </si>
  <si>
    <t>Shp File: N:\Texas_2d\60631571_TWDB_EastGalvBay_BLE\400_PRODUCTION\Engineering\EastGalvBay\_Workspace\AK\FIS_Points.shp</t>
  </si>
  <si>
    <t>Lower Limit 1%PAC</t>
  </si>
  <si>
    <t>Upper Limit 1% PAC</t>
  </si>
  <si>
    <t>1% Minus</t>
  </si>
  <si>
    <t>1% Plus</t>
  </si>
  <si>
    <t>1% Minus Ratio</t>
  </si>
  <si>
    <t>1% Plus Ratio</t>
  </si>
  <si>
    <t>Eqn from SIR 2009</t>
  </si>
  <si>
    <t>Upper Limit</t>
  </si>
  <si>
    <t>Lower Limit</t>
  </si>
  <si>
    <t>CN/Split</t>
  </si>
  <si>
    <t>US</t>
  </si>
  <si>
    <t>DS</t>
  </si>
  <si>
    <t>US/DS</t>
  </si>
  <si>
    <t>DMF2</t>
  </si>
  <si>
    <t>Basin ID (HUC12)</t>
  </si>
  <si>
    <t>Grape Creek</t>
  </si>
  <si>
    <t>Middle Creek</t>
  </si>
  <si>
    <t>Cooper Creek</t>
  </si>
  <si>
    <t>length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</si>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</sst>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00"/>
    <numFmt numFmtId="167" formatCode="0.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13" xfId="0" applyNumberFormat="1" applyBorder="1"/>
    <xf numFmtId="0" fontId="0" fillId="0" borderId="0" xfId="0" applyNumberFormat="1" applyBorder="1"/>
    <xf numFmtId="164" fontId="0" fillId="0" borderId="0" xfId="1" applyNumberFormat="1" applyFont="1" applyBorder="1"/>
    <xf numFmtId="43" fontId="0" fillId="0" borderId="14" xfId="0" applyNumberFormat="1" applyBorder="1"/>
    <xf numFmtId="0" fontId="0" fillId="0" borderId="24" xfId="0" applyBorder="1"/>
    <xf numFmtId="0" fontId="0" fillId="0" borderId="27" xfId="0" applyBorder="1"/>
    <xf numFmtId="0" fontId="0" fillId="0" borderId="25" xfId="0" applyBorder="1"/>
    <xf numFmtId="0" fontId="0" fillId="0" borderId="21" xfId="0" applyBorder="1"/>
    <xf numFmtId="0" fontId="0" fillId="0" borderId="26" xfId="0" applyBorder="1"/>
    <xf numFmtId="0" fontId="0" fillId="0" borderId="23" xfId="0" applyBorder="1"/>
    <xf numFmtId="0" fontId="0" fillId="0" borderId="22" xfId="0" applyBorder="1"/>
    <xf numFmtId="1" fontId="0" fillId="0" borderId="0" xfId="0" applyNumberFormat="1"/>
    <xf numFmtId="0" fontId="9" fillId="5" borderId="32" xfId="10" applyBorder="1"/>
    <xf numFmtId="0" fontId="9" fillId="5" borderId="28" xfId="10" applyBorder="1"/>
    <xf numFmtId="0" fontId="9" fillId="5" borderId="33" xfId="10" applyBorder="1"/>
    <xf numFmtId="0" fontId="9" fillId="5" borderId="31" xfId="10" applyBorder="1"/>
    <xf numFmtId="0" fontId="9" fillId="5" borderId="29" xfId="10" applyBorder="1"/>
    <xf numFmtId="0" fontId="9" fillId="5" borderId="30" xfId="10" applyBorder="1"/>
    <xf numFmtId="0" fontId="9" fillId="5" borderId="4" xfId="10" applyBorder="1"/>
    <xf numFmtId="0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0" fillId="0" borderId="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8" fillId="4" borderId="0" xfId="9"/>
    <xf numFmtId="164" fontId="0" fillId="0" borderId="0" xfId="0" applyNumberFormat="1"/>
    <xf numFmtId="0" fontId="0" fillId="0" borderId="13" xfId="0" applyFill="1" applyBorder="1"/>
    <xf numFmtId="0" fontId="0" fillId="0" borderId="34" xfId="0" applyNumberFormat="1" applyBorder="1"/>
    <xf numFmtId="164" fontId="0" fillId="0" borderId="34" xfId="1" applyNumberFormat="1" applyFont="1" applyBorder="1"/>
    <xf numFmtId="43" fontId="0" fillId="0" borderId="34" xfId="0" applyNumberFormat="1" applyBorder="1"/>
    <xf numFmtId="164" fontId="0" fillId="0" borderId="34" xfId="0" applyNumberFormat="1" applyBorder="1"/>
    <xf numFmtId="0" fontId="0" fillId="0" borderId="35" xfId="0" applyNumberFormat="1" applyBorder="1"/>
    <xf numFmtId="0" fontId="0" fillId="0" borderId="36" xfId="0" applyNumberFormat="1" applyBorder="1"/>
    <xf numFmtId="0" fontId="0" fillId="0" borderId="38" xfId="0" applyNumberFormat="1" applyBorder="1"/>
    <xf numFmtId="164" fontId="0" fillId="0" borderId="39" xfId="0" applyNumberFormat="1" applyBorder="1"/>
    <xf numFmtId="0" fontId="0" fillId="0" borderId="40" xfId="0" applyNumberFormat="1" applyBorder="1"/>
    <xf numFmtId="0" fontId="0" fillId="0" borderId="41" xfId="0" applyNumberFormat="1" applyBorder="1"/>
    <xf numFmtId="164" fontId="0" fillId="0" borderId="41" xfId="1" applyNumberFormat="1" applyFont="1" applyBorder="1"/>
    <xf numFmtId="43" fontId="0" fillId="0" borderId="41" xfId="0" applyNumberFormat="1" applyBorder="1"/>
    <xf numFmtId="164" fontId="0" fillId="0" borderId="41" xfId="0" applyNumberFormat="1" applyBorder="1"/>
    <xf numFmtId="164" fontId="0" fillId="0" borderId="42" xfId="0" applyNumberFormat="1" applyBorder="1"/>
    <xf numFmtId="43" fontId="0" fillId="0" borderId="0" xfId="0" applyNumberFormat="1" applyBorder="1"/>
    <xf numFmtId="164" fontId="0" fillId="0" borderId="0" xfId="0" applyNumberFormat="1" applyBorder="1"/>
    <xf numFmtId="0" fontId="0" fillId="0" borderId="37" xfId="0" applyNumberFormat="1" applyBorder="1"/>
    <xf numFmtId="0" fontId="0" fillId="0" borderId="39" xfId="0" applyNumberFormat="1" applyBorder="1"/>
    <xf numFmtId="0" fontId="0" fillId="0" borderId="42" xfId="0" applyNumberFormat="1" applyBorder="1"/>
    <xf numFmtId="0" fontId="0" fillId="0" borderId="43" xfId="0" applyNumberFormat="1" applyBorder="1"/>
    <xf numFmtId="0" fontId="0" fillId="0" borderId="26" xfId="0" applyNumberFormat="1" applyBorder="1"/>
    <xf numFmtId="0" fontId="0" fillId="33" borderId="36" xfId="0" applyNumberFormat="1" applyFill="1" applyBorder="1"/>
    <xf numFmtId="0" fontId="0" fillId="33" borderId="34" xfId="0" applyNumberFormat="1" applyFill="1" applyBorder="1"/>
    <xf numFmtId="0" fontId="0" fillId="33" borderId="41" xfId="0" applyNumberFormat="1" applyFill="1" applyBorder="1"/>
    <xf numFmtId="164" fontId="0" fillId="33" borderId="34" xfId="1" applyNumberFormat="1" applyFont="1" applyFill="1" applyBorder="1"/>
    <xf numFmtId="164" fontId="0" fillId="33" borderId="41" xfId="1" applyNumberFormat="1" applyFont="1" applyFill="1" applyBorder="1"/>
    <xf numFmtId="0" fontId="16" fillId="0" borderId="3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33" borderId="34" xfId="0" applyFill="1" applyBorder="1" applyAlignment="1">
      <alignment horizontal="center" vertical="center"/>
    </xf>
    <xf numFmtId="0" fontId="0" fillId="33" borderId="41" xfId="0" applyFill="1" applyBorder="1" applyAlignment="1">
      <alignment horizontal="center" vertical="center"/>
    </xf>
    <xf numFmtId="0" fontId="0" fillId="34" borderId="34" xfId="0" applyFill="1" applyBorder="1" applyAlignment="1">
      <alignment horizontal="center" vertical="center"/>
    </xf>
    <xf numFmtId="0" fontId="0" fillId="34" borderId="41" xfId="0" applyFill="1" applyBorder="1" applyAlignment="1">
      <alignment horizontal="center" vertical="center"/>
    </xf>
    <xf numFmtId="0" fontId="0" fillId="33" borderId="39" xfId="0" applyFill="1" applyBorder="1" applyAlignment="1">
      <alignment horizontal="center" vertical="center"/>
    </xf>
    <xf numFmtId="0" fontId="0" fillId="33" borderId="42" xfId="0" applyFill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" fontId="0" fillId="0" borderId="41" xfId="0" applyNumberFormat="1" applyBorder="1" applyAlignment="1">
      <alignment horizontal="center" vertical="center"/>
    </xf>
    <xf numFmtId="0" fontId="16" fillId="33" borderId="36" xfId="0" applyFont="1" applyFill="1" applyBorder="1" applyAlignment="1">
      <alignment horizontal="center" vertical="center"/>
    </xf>
    <xf numFmtId="0" fontId="16" fillId="34" borderId="36" xfId="0" applyFont="1" applyFill="1" applyBorder="1" applyAlignment="1">
      <alignment horizontal="center" vertical="center" wrapText="1"/>
    </xf>
    <xf numFmtId="0" fontId="16" fillId="0" borderId="36" xfId="0" quotePrefix="1" applyNumberFormat="1" applyFont="1" applyBorder="1" applyAlignment="1">
      <alignment horizontal="center" vertical="center"/>
    </xf>
    <xf numFmtId="0" fontId="16" fillId="33" borderId="37" xfId="0" applyFont="1" applyFill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0" fillId="0" borderId="44" xfId="0" applyNumberFormat="1" applyBorder="1"/>
    <xf numFmtId="0" fontId="0" fillId="0" borderId="45" xfId="0" applyNumberFormat="1" applyBorder="1"/>
    <xf numFmtId="164" fontId="0" fillId="0" borderId="45" xfId="1" applyNumberFormat="1" applyFont="1" applyBorder="1"/>
    <xf numFmtId="164" fontId="0" fillId="33" borderId="45" xfId="1" applyNumberFormat="1" applyFont="1" applyFill="1" applyBorder="1"/>
    <xf numFmtId="43" fontId="0" fillId="0" borderId="45" xfId="0" applyNumberFormat="1" applyBorder="1"/>
    <xf numFmtId="164" fontId="0" fillId="0" borderId="45" xfId="0" applyNumberFormat="1" applyBorder="1"/>
    <xf numFmtId="164" fontId="0" fillId="0" borderId="46" xfId="0" applyNumberFormat="1" applyBorder="1"/>
    <xf numFmtId="0" fontId="16" fillId="0" borderId="35" xfId="0" applyNumberFormat="1" applyFont="1" applyBorder="1" applyAlignment="1">
      <alignment horizontal="center" vertical="center"/>
    </xf>
    <xf numFmtId="0" fontId="16" fillId="0" borderId="36" xfId="0" applyNumberFormat="1" applyFont="1" applyBorder="1" applyAlignment="1">
      <alignment horizontal="center" vertical="center"/>
    </xf>
    <xf numFmtId="0" fontId="16" fillId="33" borderId="36" xfId="0" applyNumberFormat="1" applyFont="1" applyFill="1" applyBorder="1" applyAlignment="1">
      <alignment horizontal="center" vertical="center"/>
    </xf>
    <xf numFmtId="0" fontId="16" fillId="0" borderId="37" xfId="0" quotePrefix="1" applyNumberFormat="1" applyFont="1" applyBorder="1" applyAlignment="1">
      <alignment horizontal="center" vertical="center"/>
    </xf>
    <xf numFmtId="164" fontId="0" fillId="34" borderId="34" xfId="1" applyNumberFormat="1" applyFont="1" applyFill="1" applyBorder="1"/>
    <xf numFmtId="165" fontId="0" fillId="0" borderId="0" xfId="0" applyNumberFormat="1" applyBorder="1"/>
    <xf numFmtId="0" fontId="16" fillId="0" borderId="36" xfId="0" applyNumberFormat="1" applyFont="1" applyBorder="1" applyAlignment="1">
      <alignment horizontal="center" vertical="center" wrapText="1"/>
    </xf>
    <xf numFmtId="166" fontId="0" fillId="33" borderId="0" xfId="0" applyNumberFormat="1" applyFill="1"/>
    <xf numFmtId="43" fontId="0" fillId="35" borderId="0" xfId="0" applyNumberFormat="1" applyFill="1" applyBorder="1"/>
    <xf numFmtId="43" fontId="0" fillId="0" borderId="0" xfId="0" applyNumberFormat="1"/>
    <xf numFmtId="0" fontId="16" fillId="33" borderId="47" xfId="0" applyFont="1" applyFill="1" applyBorder="1" applyAlignment="1">
      <alignment horizontal="center" vertical="center" wrapText="1"/>
    </xf>
    <xf numFmtId="43" fontId="0" fillId="0" borderId="24" xfId="0" applyNumberFormat="1" applyBorder="1"/>
    <xf numFmtId="43" fontId="0" fillId="0" borderId="48" xfId="0" applyNumberFormat="1" applyBorder="1"/>
    <xf numFmtId="0" fontId="0" fillId="0" borderId="24" xfId="0" applyNumberFormat="1" applyBorder="1"/>
    <xf numFmtId="0" fontId="0" fillId="0" borderId="48" xfId="0" applyNumberFormat="1" applyBorder="1"/>
    <xf numFmtId="167" fontId="0" fillId="0" borderId="34" xfId="0" applyNumberFormat="1" applyBorder="1"/>
    <xf numFmtId="0" fontId="0" fillId="0" borderId="0" xfId="0" applyAlignment="1">
      <alignment vertical="center" wrapText="1"/>
    </xf>
    <xf numFmtId="0" fontId="16" fillId="0" borderId="49" xfId="0" applyNumberFormat="1" applyFont="1" applyBorder="1" applyAlignment="1">
      <alignment horizontal="center" vertical="center"/>
    </xf>
    <xf numFmtId="0" fontId="0" fillId="0" borderId="20" xfId="0" applyNumberFormat="1" applyBorder="1"/>
    <xf numFmtId="0" fontId="0" fillId="0" borderId="17" xfId="0" applyNumberFormat="1" applyBorder="1"/>
    <xf numFmtId="0" fontId="0" fillId="0" borderId="50" xfId="0" applyNumberFormat="1" applyBorder="1"/>
    <xf numFmtId="1" fontId="0" fillId="0" borderId="34" xfId="0" applyNumberFormat="1" applyBorder="1"/>
    <xf numFmtId="0" fontId="0" fillId="0" borderId="0" xfId="0" applyNumberFormat="1" applyFill="1" applyBorder="1"/>
    <xf numFmtId="0" fontId="16" fillId="33" borderId="26" xfId="0" applyNumberFormat="1" applyFont="1" applyFill="1" applyBorder="1" applyAlignment="1">
      <alignment horizontal="center"/>
    </xf>
    <xf numFmtId="0" fontId="16" fillId="33" borderId="27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23" xfId="0" applyNumberForma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Regression Analysis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Regression Analysis Flows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'SIR 2009-5087 (L Moment Based)'!$Q$3:$Q$5</c:f>
                <c:numCache>
                  <c:formatCode>General</c:formatCode>
                  <c:ptCount val="3"/>
                  <c:pt idx="0">
                    <c:v>5902.4619401208693</c:v>
                  </c:pt>
                  <c:pt idx="1">
                    <c:v>22521.445446085436</c:v>
                  </c:pt>
                  <c:pt idx="2">
                    <c:v>16539.162615832014</c:v>
                  </c:pt>
                </c:numCache>
              </c:numRef>
            </c:plus>
            <c:minus>
              <c:numRef>
                <c:f>'SIR 2009-5087 (L Moment Based)'!$P$3:$P$5</c:f>
                <c:numCache>
                  <c:formatCode>General</c:formatCode>
                  <c:ptCount val="3"/>
                  <c:pt idx="0">
                    <c:v>1482.6314059891342</c:v>
                  </c:pt>
                  <c:pt idx="1">
                    <c:v>5657.1313234005256</c:v>
                  </c:pt>
                  <c:pt idx="2">
                    <c:v>4154.4498163238868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'SIR 2009-5087 (L Moment Based)'!$G$3:$G$5</c:f>
              <c:numCache>
                <c:formatCode>General</c:formatCode>
                <c:ptCount val="3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</c:f>
              <c:numCache>
                <c:formatCode>_(* #,##0_);_(* \(#,##0\);_(* "-"??_);_(@_)</c:formatCode>
                <c:ptCount val="3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CC7-4202-BC70-431D7C6CE5C1}"/>
            </c:ext>
          </c:extLst>
        </c:ser>
        <c:ser>
          <c:idx val="1"/>
          <c:order val="1"/>
          <c:tx>
            <c:v>HEC-RAS Peak Discharge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'SIR 2009-5087 (L Moment Based)'!$G$3:$G$5</c:f>
              <c:numCache>
                <c:formatCode>General</c:formatCode>
                <c:ptCount val="3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Based)'!$T$3:$T$5</c:f>
              <c:numCache>
                <c:formatCode>General</c:formatCode>
                <c:ptCount val="3"/>
                <c:pt idx="0">
                  <c:v>9097.51</c:v>
                </c:pt>
                <c:pt idx="1">
                  <c:v>11202.2</c:v>
                </c:pt>
                <c:pt idx="2">
                  <c:v>24717.13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CC7-4202-BC70-431D7C6CE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876096"/>
        <c:axId val="84067072"/>
      </c:scatterChart>
      <c:valAx>
        <c:axId val="8387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Drainage Area</a:t>
                </a:r>
                <a:r>
                  <a:rPr lang="en-US" baseline="0"/>
                  <a:t> (Sq miles)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67072"/>
        <c:crosses val="autoZero"/>
        <c:crossBetween val="midCat"/>
      </c:valAx>
      <c:valAx>
        <c:axId val="8406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Peak Discharge (cfs)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87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D6-4162-820B-605331B7540D}"/>
            </c:ext>
          </c:extLst>
        </c:ser>
        <c:ser>
          <c:idx val="1"/>
          <c:order val="1"/>
          <c:tx>
            <c:v>WA6 Regression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'SIR 2009-5087 (L Moment Based)'!$S$22:$S$26</c:f>
                <c:numCache>
                  <c:formatCode>General</c:formatCode>
                  <c:ptCount val="5"/>
                </c:numCache>
              </c:numRef>
            </c:plus>
            <c:minus>
              <c:numRef>
                <c:f>'SIR 2009-5087 (L Moment Based)'!$R$22:$R$26</c:f>
                <c:numCache>
                  <c:formatCode>General</c:formatCode>
                  <c:ptCount val="5"/>
                </c:numCache>
              </c:numRef>
            </c:minus>
          </c:errBars>
          <c:xVal>
            <c:numRef>
              <c:f>'SIR 2009-5087 (L Moment Based)'!$G$22:$G$26</c:f>
              <c:numCache>
                <c:formatCode>General</c:formatCode>
                <c:ptCount val="5"/>
              </c:numCache>
            </c:numRef>
          </c:xVal>
          <c:yVal>
            <c:numRef>
              <c:f>'SIR 2009-5087 (L Moment Based)'!$M$22:$M$26</c:f>
              <c:numCache>
                <c:formatCode>_(* #,##0_);_(* \(#,##0\);_(* "-"??_);_(@_)</c:formatCode>
                <c:ptCount val="5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D6-4162-820B-605331B7540D}"/>
            </c:ext>
          </c:extLst>
        </c:ser>
        <c:ser>
          <c:idx val="6"/>
          <c:order val="2"/>
          <c:tx>
            <c:v>WA6 RAS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Plots'!$V$64:$V$66</c:f>
              <c:numCache>
                <c:formatCode>General</c:formatCode>
                <c:ptCount val="3"/>
                <c:pt idx="0">
                  <c:v>3.1</c:v>
                </c:pt>
                <c:pt idx="1">
                  <c:v>1.77</c:v>
                </c:pt>
                <c:pt idx="2">
                  <c:v>12.4</c:v>
                </c:pt>
              </c:numCache>
            </c:numRef>
          </c:xVal>
          <c:yVal>
            <c:numRef>
              <c:f>'Work Area Test Plots'!$W$64:$W$66</c:f>
              <c:numCache>
                <c:formatCode>General</c:formatCode>
                <c:ptCount val="3"/>
                <c:pt idx="0">
                  <c:v>1428.96</c:v>
                </c:pt>
                <c:pt idx="1">
                  <c:v>605.70000000000005</c:v>
                </c:pt>
                <c:pt idx="2">
                  <c:v>2271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D6-4162-820B-605331B7540D}"/>
            </c:ext>
          </c:extLst>
        </c:ser>
        <c:ser>
          <c:idx val="2"/>
          <c:order val="3"/>
          <c:tx>
            <c:v>WA6 ARF</c:v>
          </c:tx>
          <c:spPr>
            <a:ln w="28575">
              <a:noFill/>
            </a:ln>
          </c:spPr>
          <c:marker>
            <c:spPr>
              <a:noFill/>
              <a:ln w="15875"/>
            </c:spPr>
          </c:marker>
          <c:xVal>
            <c:numRef>
              <c:f>'Work Area Test Plots'!$V$64:$V$66</c:f>
              <c:numCache>
                <c:formatCode>General</c:formatCode>
                <c:ptCount val="3"/>
                <c:pt idx="0">
                  <c:v>3.1</c:v>
                </c:pt>
                <c:pt idx="1">
                  <c:v>1.77</c:v>
                </c:pt>
                <c:pt idx="2">
                  <c:v>12.4</c:v>
                </c:pt>
              </c:numCache>
            </c:numRef>
          </c:xVal>
          <c:yVal>
            <c:numRef>
              <c:f>'Work Area Test Plots'!$Z$64:$Z$66</c:f>
              <c:numCache>
                <c:formatCode>General</c:formatCode>
                <c:ptCount val="3"/>
                <c:pt idx="0">
                  <c:v>420</c:v>
                </c:pt>
                <c:pt idx="1">
                  <c:v>337</c:v>
                </c:pt>
                <c:pt idx="2">
                  <c:v>1557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D6-4162-820B-605331B75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86112"/>
        <c:axId val="73788416"/>
      </c:scatterChart>
      <c:valAx>
        <c:axId val="73786112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3788416"/>
        <c:crosses val="autoZero"/>
        <c:crossBetween val="midCat"/>
      </c:valAx>
      <c:valAx>
        <c:axId val="73788416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737861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159755030621173"/>
          <c:y val="0.60127588218139405"/>
          <c:w val="0.24772178477690288"/>
          <c:h val="0.25153543307086612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1AB-4FE6-8AC8-594744A66B2B}"/>
            </c:ext>
          </c:extLst>
        </c:ser>
        <c:ser>
          <c:idx val="2"/>
          <c:order val="1"/>
          <c:tx>
            <c:v>WA7 Regression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'SIR 2009-5087 (L Moment Based)'!$S$27:$S$28</c:f>
                <c:numCache>
                  <c:formatCode>General</c:formatCode>
                  <c:ptCount val="2"/>
                </c:numCache>
              </c:numRef>
            </c:plus>
            <c:minus>
              <c:numRef>
                <c:f>'SIR 2009-5087 (L Moment Based)'!$R$27:$R$28</c:f>
                <c:numCache>
                  <c:formatCode>General</c:formatCode>
                  <c:ptCount val="2"/>
                </c:numCache>
              </c:numRef>
            </c:minus>
          </c:errBars>
          <c:xVal>
            <c:numRef>
              <c:f>'SIR 2009-5087 (L Moment Based)'!$G$27:$G$28</c:f>
              <c:numCache>
                <c:formatCode>General</c:formatCode>
                <c:ptCount val="2"/>
              </c:numCache>
            </c:numRef>
          </c:xVal>
          <c:yVal>
            <c:numRef>
              <c:f>'SIR 2009-5087 (L Moment Based)'!$M$27:$M$28</c:f>
              <c:numCache>
                <c:formatCode>_(* #,##0_);_(* \(#,##0\);_(* "-"??_);_(@_)</c:formatCode>
                <c:ptCount val="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1AB-4FE6-8AC8-594744A66B2B}"/>
            </c:ext>
          </c:extLst>
        </c:ser>
        <c:ser>
          <c:idx val="6"/>
          <c:order val="2"/>
          <c:tx>
            <c:v>WA7 RAS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Plots'!$V$69:$V$72</c:f>
              <c:numCache>
                <c:formatCode>General</c:formatCode>
                <c:ptCount val="4"/>
                <c:pt idx="0">
                  <c:v>4.9000000000000004</c:v>
                </c:pt>
                <c:pt idx="1">
                  <c:v>1.2</c:v>
                </c:pt>
                <c:pt idx="2">
                  <c:v>5.6</c:v>
                </c:pt>
                <c:pt idx="3">
                  <c:v>3.1</c:v>
                </c:pt>
              </c:numCache>
            </c:numRef>
          </c:xVal>
          <c:yVal>
            <c:numRef>
              <c:f>'Work Area Test Plots'!$W$69:$W$72</c:f>
              <c:numCache>
                <c:formatCode>General</c:formatCode>
                <c:ptCount val="4"/>
                <c:pt idx="0">
                  <c:v>618</c:v>
                </c:pt>
                <c:pt idx="1">
                  <c:v>312</c:v>
                </c:pt>
                <c:pt idx="2">
                  <c:v>531</c:v>
                </c:pt>
                <c:pt idx="3">
                  <c:v>664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1AB-4FE6-8AC8-594744A66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601216"/>
        <c:axId val="78611968"/>
      </c:scatterChart>
      <c:valAx>
        <c:axId val="78601216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8611968"/>
        <c:crosses val="autoZero"/>
        <c:crossBetween val="midCat"/>
      </c:valAx>
      <c:valAx>
        <c:axId val="78611968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786012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027086614173228"/>
          <c:y val="0.60127588218139394"/>
          <c:w val="0.23340244969378829"/>
          <c:h val="0.24767351997666959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54-473E-BE60-D02426A93C33}"/>
            </c:ext>
          </c:extLst>
        </c:ser>
        <c:ser>
          <c:idx val="3"/>
          <c:order val="1"/>
          <c:tx>
            <c:v>WA9 Regression</c:v>
          </c:tx>
          <c:spPr>
            <a:ln w="28575">
              <a:noFill/>
            </a:ln>
          </c:spPr>
          <c:marker>
            <c:symbol val="circle"/>
            <c:size val="7"/>
          </c:marker>
          <c:errBars>
            <c:errDir val="y"/>
            <c:errBarType val="both"/>
            <c:errValType val="cust"/>
            <c:noEndCap val="0"/>
            <c:plus>
              <c:numRef>
                <c:f>'SIR 2009-5087 (L Moment Based)'!$S$36:$S$39</c:f>
                <c:numCache>
                  <c:formatCode>General</c:formatCode>
                  <c:ptCount val="4"/>
                </c:numCache>
              </c:numRef>
            </c:plus>
            <c:minus>
              <c:numRef>
                <c:f>'SIR 2009-5087 (L Moment Based)'!$R$36:$R$39</c:f>
                <c:numCache>
                  <c:formatCode>General</c:formatCode>
                  <c:ptCount val="4"/>
                </c:numCache>
              </c:numRef>
            </c:minus>
          </c:errBars>
          <c:xVal>
            <c:numRef>
              <c:f>'SIR 2009-5087 (L Moment Based)'!$G$36:$G$39</c:f>
              <c:numCache>
                <c:formatCode>General</c:formatCode>
                <c:ptCount val="4"/>
              </c:numCache>
            </c:numRef>
          </c:xVal>
          <c:yVal>
            <c:numRef>
              <c:f>'SIR 2009-5087 (L Moment Based)'!$M$36:$M$39</c:f>
              <c:numCache>
                <c:formatCode>_(* #,##0_);_(* \(#,##0\);_(* "-"??_);_(@_)</c:formatCode>
                <c:ptCount val="4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054-473E-BE60-D02426A93C33}"/>
            </c:ext>
          </c:extLst>
        </c:ser>
        <c:ser>
          <c:idx val="6"/>
          <c:order val="2"/>
          <c:tx>
            <c:v>WA9 RAS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Plots'!$V$85:$V$87</c:f>
              <c:numCache>
                <c:formatCode>General</c:formatCode>
                <c:ptCount val="3"/>
                <c:pt idx="0">
                  <c:v>24.169999999999998</c:v>
                </c:pt>
                <c:pt idx="1">
                  <c:v>6.3314300000000001</c:v>
                </c:pt>
                <c:pt idx="2">
                  <c:v>165.984375</c:v>
                </c:pt>
              </c:numCache>
            </c:numRef>
          </c:xVal>
          <c:yVal>
            <c:numRef>
              <c:f>'Work Area Test Plots'!$W$85:$W$87</c:f>
              <c:numCache>
                <c:formatCode>General</c:formatCode>
                <c:ptCount val="3"/>
                <c:pt idx="0">
                  <c:v>1071.19</c:v>
                </c:pt>
                <c:pt idx="1">
                  <c:v>548.25</c:v>
                </c:pt>
                <c:pt idx="2">
                  <c:v>2890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54-473E-BE60-D02426A93C33}"/>
            </c:ext>
          </c:extLst>
        </c:ser>
        <c:ser>
          <c:idx val="1"/>
          <c:order val="3"/>
          <c:tx>
            <c:v>WA9 ARF</c:v>
          </c:tx>
          <c:spPr>
            <a:ln w="28575">
              <a:noFill/>
            </a:ln>
          </c:spPr>
          <c:marker>
            <c:spPr>
              <a:noFill/>
              <a:ln w="15875"/>
            </c:spPr>
          </c:marker>
          <c:xVal>
            <c:numRef>
              <c:f>'Work Area Test Plots'!$V$87</c:f>
              <c:numCache>
                <c:formatCode>General</c:formatCode>
                <c:ptCount val="1"/>
                <c:pt idx="0">
                  <c:v>165.984375</c:v>
                </c:pt>
              </c:numCache>
            </c:numRef>
          </c:xVal>
          <c:yVal>
            <c:numRef>
              <c:f>'Work Area Test Plots'!$Z$87</c:f>
              <c:numCache>
                <c:formatCode>General</c:formatCode>
                <c:ptCount val="1"/>
                <c:pt idx="0">
                  <c:v>1406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054-473E-BE60-D02426A93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784000"/>
        <c:axId val="78802944"/>
      </c:scatterChart>
      <c:valAx>
        <c:axId val="78784000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8802944"/>
        <c:crosses val="autoZero"/>
        <c:crossBetween val="midCat"/>
      </c:valAx>
      <c:valAx>
        <c:axId val="78802944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787840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715310586176726"/>
          <c:y val="0.60127588218139405"/>
          <c:w val="0.24216622922134734"/>
          <c:h val="0.25153543307086612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dPt>
            <c:idx val="49"/>
            <c:marker>
              <c:spPr>
                <a:solidFill>
                  <a:schemeClr val="accent1"/>
                </a:solidFill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39D-4BEA-8143-AB9D91D36070}"/>
              </c:ext>
            </c:extLst>
          </c:dPt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39D-4BEA-8143-AB9D91D36070}"/>
            </c:ext>
          </c:extLst>
        </c:ser>
        <c:ser>
          <c:idx val="4"/>
          <c:order val="1"/>
          <c:tx>
            <c:v>WA11 Regression</c:v>
          </c:tx>
          <c:spPr>
            <a:ln w="28575">
              <a:noFill/>
            </a:ln>
          </c:spPr>
          <c:marker>
            <c:symbol val="square"/>
            <c:size val="7"/>
            <c:spPr>
              <a:ln w="9525"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'SIR 2009-5087 (L Moment Based)'!$S$49</c:f>
                <c:numCache>
                  <c:formatCode>General</c:formatCode>
                  <c:ptCount val="1"/>
                </c:numCache>
              </c:numRef>
            </c:plus>
            <c:minus>
              <c:numRef>
                <c:f>'SIR 2009-5087 (L Moment Based)'!$R$49</c:f>
                <c:numCache>
                  <c:formatCode>General</c:formatCode>
                  <c:ptCount val="1"/>
                </c:numCache>
              </c:numRef>
            </c:minus>
          </c:errBars>
          <c:xVal>
            <c:numRef>
              <c:f>'SIR 2009-5087 (L Moment Based)'!$G$49</c:f>
              <c:numCache>
                <c:formatCode>General</c:formatCode>
                <c:ptCount val="1"/>
              </c:numCache>
            </c:numRef>
          </c:xVal>
          <c:yVal>
            <c:numRef>
              <c:f>'SIR 2009-5087 (L Moment Based)'!$M$49</c:f>
              <c:numCache>
                <c:formatCode>_(* #,##0_);_(* \(#,##0\);_(* "-"??_);_(@_)</c:formatCode>
                <c:ptCount val="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39D-4BEA-8143-AB9D91D36070}"/>
            </c:ext>
          </c:extLst>
        </c:ser>
        <c:ser>
          <c:idx val="6"/>
          <c:order val="2"/>
          <c:tx>
            <c:v>WA11 RAS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Plots'!$V$102:$V$103</c:f>
              <c:numCache>
                <c:formatCode>General</c:formatCode>
                <c:ptCount val="2"/>
                <c:pt idx="0">
                  <c:v>2.17</c:v>
                </c:pt>
                <c:pt idx="1">
                  <c:v>294.60624999999999</c:v>
                </c:pt>
              </c:numCache>
            </c:numRef>
          </c:xVal>
          <c:yVal>
            <c:numRef>
              <c:f>'Work Area Test Plots'!$W$102:$W$103</c:f>
              <c:numCache>
                <c:formatCode>General</c:formatCode>
                <c:ptCount val="2"/>
                <c:pt idx="0">
                  <c:v>473</c:v>
                </c:pt>
                <c:pt idx="1">
                  <c:v>18599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39D-4BEA-8143-AB9D91D36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881536"/>
        <c:axId val="78883840"/>
      </c:scatterChart>
      <c:valAx>
        <c:axId val="78881536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8883840"/>
        <c:crosses val="autoZero"/>
        <c:crossBetween val="midCat"/>
      </c:valAx>
      <c:valAx>
        <c:axId val="78883840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788815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881977252843396"/>
          <c:y val="0.60127588218139394"/>
          <c:w val="0.24729133858267716"/>
          <c:h val="0.24767351997666959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512-4CB4-84E2-D34F82742E88}"/>
            </c:ext>
          </c:extLst>
        </c:ser>
        <c:ser>
          <c:idx val="1"/>
          <c:order val="1"/>
          <c:tx>
            <c:v>WA5 Regression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'SIR 2009-5087 (L Moment Based)'!$S$13:$S$21</c:f>
                <c:numCache>
                  <c:formatCode>General</c:formatCode>
                  <c:ptCount val="9"/>
                  <c:pt idx="2">
                    <c:v>268.98201135032338</c:v>
                  </c:pt>
                  <c:pt idx="3">
                    <c:v>32534.426377239019</c:v>
                  </c:pt>
                </c:numCache>
              </c:numRef>
            </c:plus>
            <c:minus>
              <c:numRef>
                <c:f>'SIR 2009-5087 (L Moment Based)'!$R$13:$R$21</c:f>
                <c:numCache>
                  <c:formatCode>General</c:formatCode>
                  <c:ptCount val="9"/>
                  <c:pt idx="0">
                    <c:v>4.5123431539807104</c:v>
                  </c:pt>
                  <c:pt idx="1">
                    <c:v>32534.426377239019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minus>
          </c:errBars>
          <c:xVal>
            <c:numRef>
              <c:f>'SIR 2009-5087 (L Moment Based)'!$G$13:$G$21</c:f>
              <c:numCache>
                <c:formatCode>General</c:formatCode>
                <c:ptCount val="9"/>
              </c:numCache>
            </c:numRef>
          </c:xVal>
          <c:yVal>
            <c:numRef>
              <c:f>'SIR 2009-5087 (L Moment Based)'!$M$13:$M$21</c:f>
              <c:numCache>
                <c:formatCode>_(* #,##0_);_(* \(#,##0\);_(* "-"??_);_(@_)</c:formatCode>
                <c:ptCount val="9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512-4CB4-84E2-D34F82742E88}"/>
            </c:ext>
          </c:extLst>
        </c:ser>
        <c:ser>
          <c:idx val="4"/>
          <c:order val="2"/>
          <c:tx>
            <c:v>WA5 RAS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Plots'!$V$53:$V$58</c:f>
              <c:numCache>
                <c:formatCode>General</c:formatCode>
                <c:ptCount val="6"/>
                <c:pt idx="0">
                  <c:v>20.399999999999999</c:v>
                </c:pt>
                <c:pt idx="1">
                  <c:v>12.3</c:v>
                </c:pt>
                <c:pt idx="2">
                  <c:v>6.6</c:v>
                </c:pt>
                <c:pt idx="3">
                  <c:v>3.9</c:v>
                </c:pt>
                <c:pt idx="4">
                  <c:v>2.2000000000000002</c:v>
                </c:pt>
                <c:pt idx="5">
                  <c:v>40</c:v>
                </c:pt>
              </c:numCache>
            </c:numRef>
          </c:xVal>
          <c:yVal>
            <c:numRef>
              <c:f>'Work Area Test Plots'!$W$53:$W$58</c:f>
              <c:numCache>
                <c:formatCode>General</c:formatCode>
                <c:ptCount val="6"/>
                <c:pt idx="0">
                  <c:v>4617.8999999999996</c:v>
                </c:pt>
                <c:pt idx="1">
                  <c:v>6923.5</c:v>
                </c:pt>
                <c:pt idx="2">
                  <c:v>3786.8</c:v>
                </c:pt>
                <c:pt idx="3">
                  <c:v>2609.1</c:v>
                </c:pt>
                <c:pt idx="4">
                  <c:v>1229.0999999999999</c:v>
                </c:pt>
                <c:pt idx="5">
                  <c:v>8840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512-4CB4-84E2-D34F82742E88}"/>
            </c:ext>
          </c:extLst>
        </c:ser>
        <c:ser>
          <c:idx val="2"/>
          <c:order val="3"/>
          <c:tx>
            <c:v>WA5 ARF</c:v>
          </c:tx>
          <c:spPr>
            <a:ln w="28575">
              <a:noFill/>
            </a:ln>
          </c:spPr>
          <c:marker>
            <c:spPr>
              <a:noFill/>
              <a:ln w="15875"/>
            </c:spPr>
          </c:marker>
          <c:xVal>
            <c:numRef>
              <c:f>'Work Area Test Plots'!$V$53:$V$58</c:f>
              <c:numCache>
                <c:formatCode>General</c:formatCode>
                <c:ptCount val="6"/>
                <c:pt idx="0">
                  <c:v>20.399999999999999</c:v>
                </c:pt>
                <c:pt idx="1">
                  <c:v>12.3</c:v>
                </c:pt>
                <c:pt idx="2">
                  <c:v>6.6</c:v>
                </c:pt>
                <c:pt idx="3">
                  <c:v>3.9</c:v>
                </c:pt>
                <c:pt idx="4">
                  <c:v>2.2000000000000002</c:v>
                </c:pt>
                <c:pt idx="5">
                  <c:v>40</c:v>
                </c:pt>
              </c:numCache>
            </c:numRef>
          </c:xVal>
          <c:yVal>
            <c:numRef>
              <c:f>'Work Area Test Plots'!$Z$53:$Z$58</c:f>
              <c:numCache>
                <c:formatCode>General</c:formatCode>
                <c:ptCount val="6"/>
                <c:pt idx="0">
                  <c:v>2499.59</c:v>
                </c:pt>
                <c:pt idx="1">
                  <c:v>4010.8</c:v>
                </c:pt>
                <c:pt idx="2">
                  <c:v>1871.36</c:v>
                </c:pt>
                <c:pt idx="3">
                  <c:v>1605.37</c:v>
                </c:pt>
                <c:pt idx="4">
                  <c:v>1043.5999999999999</c:v>
                </c:pt>
                <c:pt idx="5">
                  <c:v>6507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512-4CB4-84E2-D34F82742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008128"/>
        <c:axId val="79010432"/>
      </c:scatterChart>
      <c:valAx>
        <c:axId val="79008128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9010432"/>
        <c:crosses val="autoZero"/>
        <c:crossBetween val="midCat"/>
      </c:valAx>
      <c:valAx>
        <c:axId val="79010432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790081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881977252843396"/>
          <c:y val="0.60127588218139394"/>
          <c:w val="0.25284689413823275"/>
          <c:h val="0.25153543307086612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696-4F96-947D-CD30566F5501}"/>
            </c:ext>
          </c:extLst>
        </c:ser>
        <c:ser>
          <c:idx val="2"/>
          <c:order val="1"/>
          <c:tx>
            <c:v>WA8 Regression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'SIR 2009-5087 (L Moment Based)'!$S$29:$S$35</c:f>
                <c:numCache>
                  <c:formatCode>General</c:formatCode>
                  <c:ptCount val="7"/>
                </c:numCache>
              </c:numRef>
            </c:plus>
            <c:minus>
              <c:numRef>
                <c:f>'SIR 2009-5087 (L Moment Based)'!$R$29:$R$35</c:f>
                <c:numCache>
                  <c:formatCode>General</c:formatCode>
                  <c:ptCount val="7"/>
                </c:numCache>
              </c:numRef>
            </c:minus>
          </c:errBars>
          <c:xVal>
            <c:numRef>
              <c:f>'SIR 2009-5087 (L Moment Based)'!$G$29:$G$35</c:f>
              <c:numCache>
                <c:formatCode>General</c:formatCode>
                <c:ptCount val="7"/>
              </c:numCache>
            </c:numRef>
          </c:xVal>
          <c:yVal>
            <c:numRef>
              <c:f>'SIR 2009-5087 (L Moment Based)'!$M$29:$M$35</c:f>
              <c:numCache>
                <c:formatCode>_(* #,##0_);_(* \(#,##0\);_(* "-"??_);_(@_)</c:formatCode>
                <c:ptCount val="7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696-4F96-947D-CD30566F5501}"/>
            </c:ext>
          </c:extLst>
        </c:ser>
        <c:ser>
          <c:idx val="4"/>
          <c:order val="2"/>
          <c:tx>
            <c:v>WA8 RAS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Plots'!$V$79:$V$83</c:f>
              <c:numCache>
                <c:formatCode>General</c:formatCode>
                <c:ptCount val="5"/>
                <c:pt idx="0">
                  <c:v>5.6837900000000001</c:v>
                </c:pt>
                <c:pt idx="1">
                  <c:v>141.44218749999999</c:v>
                </c:pt>
                <c:pt idx="2">
                  <c:v>120.684375</c:v>
                </c:pt>
                <c:pt idx="3">
                  <c:v>41.384374999999999</c:v>
                </c:pt>
                <c:pt idx="4">
                  <c:v>114.91875</c:v>
                </c:pt>
              </c:numCache>
            </c:numRef>
          </c:xVal>
          <c:yVal>
            <c:numRef>
              <c:f>'Work Area Test Plots'!$W$79:$W$83</c:f>
              <c:numCache>
                <c:formatCode>General</c:formatCode>
                <c:ptCount val="5"/>
                <c:pt idx="0">
                  <c:v>3743</c:v>
                </c:pt>
                <c:pt idx="1">
                  <c:v>3022</c:v>
                </c:pt>
                <c:pt idx="2">
                  <c:v>4730</c:v>
                </c:pt>
                <c:pt idx="3">
                  <c:v>3420</c:v>
                </c:pt>
                <c:pt idx="4">
                  <c:v>6150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696-4F96-947D-CD30566F5501}"/>
            </c:ext>
          </c:extLst>
        </c:ser>
        <c:ser>
          <c:idx val="1"/>
          <c:order val="3"/>
          <c:tx>
            <c:v>WA8 ARF</c:v>
          </c:tx>
          <c:spPr>
            <a:ln w="28575">
              <a:noFill/>
            </a:ln>
          </c:spPr>
          <c:marker>
            <c:spPr>
              <a:noFill/>
              <a:ln w="15875"/>
            </c:spPr>
          </c:marker>
          <c:xVal>
            <c:numRef>
              <c:f>'Work Area Test Plots'!$V$79:$V$83</c:f>
              <c:numCache>
                <c:formatCode>General</c:formatCode>
                <c:ptCount val="5"/>
                <c:pt idx="0">
                  <c:v>5.6837900000000001</c:v>
                </c:pt>
                <c:pt idx="1">
                  <c:v>141.44218749999999</c:v>
                </c:pt>
                <c:pt idx="2">
                  <c:v>120.684375</c:v>
                </c:pt>
                <c:pt idx="3">
                  <c:v>41.384374999999999</c:v>
                </c:pt>
                <c:pt idx="4">
                  <c:v>114.91875</c:v>
                </c:pt>
              </c:numCache>
            </c:numRef>
          </c:xVal>
          <c:yVal>
            <c:numRef>
              <c:f>'Work Area Test Plots'!$Z$79:$Z$83</c:f>
              <c:numCache>
                <c:formatCode>General</c:formatCode>
                <c:ptCount val="5"/>
                <c:pt idx="0">
                  <c:v>969</c:v>
                </c:pt>
                <c:pt idx="1">
                  <c:v>97</c:v>
                </c:pt>
                <c:pt idx="2">
                  <c:v>802</c:v>
                </c:pt>
                <c:pt idx="3">
                  <c:v>1120</c:v>
                </c:pt>
                <c:pt idx="4">
                  <c:v>1200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696-4F96-947D-CD30566F5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192064"/>
        <c:axId val="79194368"/>
      </c:scatterChart>
      <c:valAx>
        <c:axId val="79192064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9194368"/>
        <c:crosses val="autoZero"/>
        <c:crossBetween val="midCat"/>
      </c:valAx>
      <c:valAx>
        <c:axId val="79194368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791920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027086614173228"/>
          <c:y val="0.60127588218139394"/>
          <c:w val="0.23855511811023622"/>
          <c:h val="0.25153543307086612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C2-4ABB-A1AF-DE4920AB1E74}"/>
            </c:ext>
          </c:extLst>
        </c:ser>
        <c:ser>
          <c:idx val="3"/>
          <c:order val="1"/>
          <c:tx>
            <c:v>WA10 Regression</c:v>
          </c:tx>
          <c:spPr>
            <a:ln w="28575">
              <a:noFill/>
            </a:ln>
          </c:spPr>
          <c:marker>
            <c:symbol val="circle"/>
            <c:size val="7"/>
          </c:marker>
          <c:errBars>
            <c:errDir val="y"/>
            <c:errBarType val="both"/>
            <c:errValType val="cust"/>
            <c:noEndCap val="0"/>
            <c:plus>
              <c:numRef>
                <c:f>'SIR 2009-5087 (L Moment Based)'!$S$40:$S$48</c:f>
                <c:numCache>
                  <c:formatCode>General</c:formatCode>
                  <c:ptCount val="9"/>
                </c:numCache>
              </c:numRef>
            </c:plus>
            <c:minus>
              <c:numRef>
                <c:f>'SIR 2009-5087 (L Moment Based)'!$R$40:$R$48</c:f>
                <c:numCache>
                  <c:formatCode>General</c:formatCode>
                  <c:ptCount val="9"/>
                </c:numCache>
              </c:numRef>
            </c:minus>
          </c:errBars>
          <c:xVal>
            <c:numRef>
              <c:f>'SIR 2009-5087 (L Moment Based)'!$G$40:$G$48</c:f>
              <c:numCache>
                <c:formatCode>General</c:formatCode>
                <c:ptCount val="9"/>
              </c:numCache>
            </c:numRef>
          </c:xVal>
          <c:yVal>
            <c:numRef>
              <c:f>'SIR 2009-5087 (L Moment Based)'!$M$40:$M$48</c:f>
              <c:numCache>
                <c:formatCode>_(* #,##0_);_(* \(#,##0\);_(* "-"??_);_(@_)</c:formatCode>
                <c:ptCount val="9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C2-4ABB-A1AF-DE4920AB1E74}"/>
            </c:ext>
          </c:extLst>
        </c:ser>
        <c:ser>
          <c:idx val="4"/>
          <c:order val="2"/>
          <c:tx>
            <c:v>WA10 RAS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Plots'!$V$94:$V$99</c:f>
              <c:numCache>
                <c:formatCode>General</c:formatCode>
                <c:ptCount val="6"/>
                <c:pt idx="0">
                  <c:v>32.82</c:v>
                </c:pt>
                <c:pt idx="1">
                  <c:v>33</c:v>
                </c:pt>
                <c:pt idx="2">
                  <c:v>8.4600000000000009</c:v>
                </c:pt>
                <c:pt idx="3">
                  <c:v>130.55000000000001</c:v>
                </c:pt>
                <c:pt idx="4">
                  <c:v>281.85000000000002</c:v>
                </c:pt>
                <c:pt idx="5">
                  <c:v>30.4</c:v>
                </c:pt>
              </c:numCache>
            </c:numRef>
          </c:xVal>
          <c:yVal>
            <c:numRef>
              <c:f>'Work Area Test Plots'!$W$94:$W$99</c:f>
              <c:numCache>
                <c:formatCode>General</c:formatCode>
                <c:ptCount val="6"/>
                <c:pt idx="0">
                  <c:v>12670</c:v>
                </c:pt>
                <c:pt idx="1">
                  <c:v>17810</c:v>
                </c:pt>
                <c:pt idx="2">
                  <c:v>6800</c:v>
                </c:pt>
                <c:pt idx="3">
                  <c:v>18870</c:v>
                </c:pt>
                <c:pt idx="4">
                  <c:v>18530</c:v>
                </c:pt>
                <c:pt idx="5">
                  <c:v>3684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C2-4ABB-A1AF-DE4920AB1E74}"/>
            </c:ext>
          </c:extLst>
        </c:ser>
        <c:ser>
          <c:idx val="1"/>
          <c:order val="3"/>
          <c:tx>
            <c:v>WA 10 ARF</c:v>
          </c:tx>
          <c:spPr>
            <a:ln w="28575">
              <a:noFill/>
            </a:ln>
          </c:spPr>
          <c:marker>
            <c:spPr>
              <a:noFill/>
              <a:ln w="15875"/>
            </c:spPr>
          </c:marker>
          <c:xVal>
            <c:numRef>
              <c:f>'Work Area Test Plots'!$V$94:$V$99</c:f>
              <c:numCache>
                <c:formatCode>General</c:formatCode>
                <c:ptCount val="6"/>
                <c:pt idx="0">
                  <c:v>32.82</c:v>
                </c:pt>
                <c:pt idx="1">
                  <c:v>33</c:v>
                </c:pt>
                <c:pt idx="2">
                  <c:v>8.4600000000000009</c:v>
                </c:pt>
                <c:pt idx="3">
                  <c:v>130.55000000000001</c:v>
                </c:pt>
                <c:pt idx="4">
                  <c:v>281.85000000000002</c:v>
                </c:pt>
                <c:pt idx="5">
                  <c:v>30.4</c:v>
                </c:pt>
              </c:numCache>
            </c:numRef>
          </c:xVal>
          <c:yVal>
            <c:numRef>
              <c:f>'Work Area Test Plots'!$Z$94:$Z$99</c:f>
              <c:numCache>
                <c:formatCode>General</c:formatCode>
                <c:ptCount val="6"/>
                <c:pt idx="0">
                  <c:v>4032</c:v>
                </c:pt>
                <c:pt idx="1">
                  <c:v>6204</c:v>
                </c:pt>
                <c:pt idx="2">
                  <c:v>2313</c:v>
                </c:pt>
                <c:pt idx="3">
                  <c:v>5460</c:v>
                </c:pt>
                <c:pt idx="4">
                  <c:v>5040</c:v>
                </c:pt>
                <c:pt idx="5">
                  <c:v>1084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C2-4ABB-A1AF-DE4920AB1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412096"/>
        <c:axId val="83414400"/>
      </c:scatterChart>
      <c:valAx>
        <c:axId val="83412096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83414400"/>
        <c:crosses val="autoZero"/>
        <c:crossBetween val="midCat"/>
      </c:valAx>
      <c:valAx>
        <c:axId val="83414400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34120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604199475065619"/>
          <c:y val="0.60127588218139405"/>
          <c:w val="0.25347178477690291"/>
          <c:h val="0.25153543307086612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FIS</a:t>
            </a:r>
            <a:r>
              <a:rPr lang="en-US" baseline="0"/>
              <a:t> Report Calibration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FIS Report Peak Discharge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x"/>
            <c:errBarType val="both"/>
            <c:errValType val="fixedVal"/>
            <c:noEndCap val="1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'FIS Report'!$L$3:$L$6</c:f>
                <c:numCache>
                  <c:formatCode>General</c:formatCode>
                  <c:ptCount val="4"/>
                  <c:pt idx="0">
                    <c:v>7581</c:v>
                  </c:pt>
                  <c:pt idx="1">
                    <c:v>14763</c:v>
                  </c:pt>
                  <c:pt idx="2">
                    <c:v>3371.55</c:v>
                  </c:pt>
                  <c:pt idx="3">
                    <c:v>14364</c:v>
                  </c:pt>
                </c:numCache>
              </c:numRef>
            </c:plus>
            <c:minus>
              <c:numRef>
                <c:f>'FIS Report'!$K$3:$K$6</c:f>
                <c:numCache>
                  <c:formatCode>General</c:formatCode>
                  <c:ptCount val="4"/>
                  <c:pt idx="0">
                    <c:v>1903.8</c:v>
                  </c:pt>
                  <c:pt idx="1">
                    <c:v>3707.4</c:v>
                  </c:pt>
                  <c:pt idx="2">
                    <c:v>846.69</c:v>
                  </c:pt>
                  <c:pt idx="3">
                    <c:v>3607.2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'FIS Report'!$E$3:$E$6</c:f>
              <c:numCache>
                <c:formatCode>General</c:formatCode>
                <c:ptCount val="4"/>
                <c:pt idx="0">
                  <c:v>14.5</c:v>
                </c:pt>
                <c:pt idx="1">
                  <c:v>59.2</c:v>
                </c:pt>
                <c:pt idx="2">
                  <c:v>10.9</c:v>
                </c:pt>
                <c:pt idx="3">
                  <c:v>63.8</c:v>
                </c:pt>
              </c:numCache>
            </c:numRef>
          </c:xVal>
          <c:yVal>
            <c:numRef>
              <c:f>'FIS Report'!$I$3:$I$6</c:f>
              <c:numCache>
                <c:formatCode>General</c:formatCode>
                <c:ptCount val="4"/>
                <c:pt idx="0">
                  <c:v>3800</c:v>
                </c:pt>
                <c:pt idx="1">
                  <c:v>7400</c:v>
                </c:pt>
                <c:pt idx="2">
                  <c:v>1690</c:v>
                </c:pt>
                <c:pt idx="3">
                  <c:v>7200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83-4A0A-BBEE-ABC80412F916}"/>
            </c:ext>
          </c:extLst>
        </c:ser>
        <c:ser>
          <c:idx val="1"/>
          <c:order val="1"/>
          <c:tx>
            <c:v>HEC-RAS Peak Discharge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'FIS Report'!$E$3:$E$6</c:f>
              <c:numCache>
                <c:formatCode>General</c:formatCode>
                <c:ptCount val="4"/>
                <c:pt idx="0">
                  <c:v>14.5</c:v>
                </c:pt>
                <c:pt idx="1">
                  <c:v>59.2</c:v>
                </c:pt>
                <c:pt idx="2">
                  <c:v>10.9</c:v>
                </c:pt>
                <c:pt idx="3">
                  <c:v>63.8</c:v>
                </c:pt>
              </c:numCache>
            </c:numRef>
          </c:xVal>
          <c:yVal>
            <c:numRef>
              <c:f>'FIS Report'!$O$3:$O$6</c:f>
              <c:numCache>
                <c:formatCode>General</c:formatCode>
                <c:ptCount val="4"/>
                <c:pt idx="0">
                  <c:v>5597.732</c:v>
                </c:pt>
                <c:pt idx="1">
                  <c:v>4750.473</c:v>
                </c:pt>
                <c:pt idx="2">
                  <c:v>1902.777</c:v>
                </c:pt>
                <c:pt idx="3">
                  <c:v>6580.6180000000004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83-4A0A-BBEE-ABC80412F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088128"/>
        <c:axId val="355036544"/>
      </c:scatterChart>
      <c:valAx>
        <c:axId val="343088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Drainage Area</a:t>
                </a:r>
                <a:r>
                  <a:rPr lang="en-US" baseline="0"/>
                  <a:t> (Sq miles)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5036544"/>
        <c:crosses val="autoZero"/>
        <c:crossBetween val="midCat"/>
      </c:valAx>
      <c:valAx>
        <c:axId val="35503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Peak Discharge (cfs)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08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'SIR 2009-5087 (L Moment Based)'!$M$2</c:f>
              <c:strCache>
                <c:ptCount val="1"/>
                <c:pt idx="0">
                  <c:v>Q100</c:v>
                </c:pt>
              </c:strCache>
            </c:strRef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'SIR 2009-5087 (L Moment Based)'!$S$3:$S$49</c:f>
                <c:numCache>
                  <c:formatCode>General</c:formatCode>
                  <c:ptCount val="45"/>
                  <c:pt idx="0">
                    <c:v>2944.2233687614275</c:v>
                  </c:pt>
                  <c:pt idx="1">
                    <c:v>11233.984505674362</c:v>
                  </c:pt>
                  <c:pt idx="2">
                    <c:v>8249.9454578915847</c:v>
                  </c:pt>
                  <c:pt idx="4">
                    <c:v>41583.949999999997</c:v>
                  </c:pt>
                  <c:pt idx="5">
                    <c:v>11202.2</c:v>
                  </c:pt>
                  <c:pt idx="6">
                    <c:v>3003.79</c:v>
                  </c:pt>
                  <c:pt idx="10">
                    <c:v>268.98201135032338</c:v>
                  </c:pt>
                  <c:pt idx="11">
                    <c:v>32534.426377239019</c:v>
                  </c:pt>
                </c:numCache>
              </c:numRef>
            </c:plus>
            <c:minus>
              <c:numRef>
                <c:f>'SIR 2009-5087 (L Moment Based)'!$R$3:$R$49</c:f>
                <c:numCache>
                  <c:formatCode>General</c:formatCode>
                  <c:ptCount val="45"/>
                  <c:pt idx="0">
                    <c:v>1475.6071653703075</c:v>
                  </c:pt>
                  <c:pt idx="1">
                    <c:v>5630.3296170105486</c:v>
                  </c:pt>
                  <c:pt idx="2">
                    <c:v>4134.7673416165426</c:v>
                  </c:pt>
                  <c:pt idx="5">
                    <c:v>3.7710331953697769</c:v>
                  </c:pt>
                  <c:pt idx="6">
                    <c:v>3.4710331953697771</c:v>
                  </c:pt>
                  <c:pt idx="7">
                    <c:v>1.0413099586109331</c:v>
                  </c:pt>
                  <c:pt idx="8">
                    <c:v>4.5123431539807104</c:v>
                  </c:pt>
                  <c:pt idx="9">
                    <c:v>32534.426377239019</c:v>
                  </c:pt>
                  <c:pt idx="10">
                    <c:v>0</c:v>
                  </c:pt>
                  <c:pt idx="11">
                    <c:v>0</c:v>
                  </c:pt>
                </c:numCache>
              </c:numRef>
            </c:minus>
          </c:errBars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88E-40D5-9A0A-88482832C40C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Plots'!$T$4:$T$9</c:f>
              <c:numCache>
                <c:formatCode>General</c:formatCode>
                <c:ptCount val="6"/>
                <c:pt idx="0">
                  <c:v>0.94799999999999995</c:v>
                </c:pt>
                <c:pt idx="1">
                  <c:v>0.48299999999999998</c:v>
                </c:pt>
                <c:pt idx="2">
                  <c:v>2.4750000000000001</c:v>
                </c:pt>
                <c:pt idx="3">
                  <c:v>0.88800000000000001</c:v>
                </c:pt>
              </c:numCache>
            </c:numRef>
          </c:xVal>
          <c:yVal>
            <c:numRef>
              <c:f>'Work Area Test Plots'!$U$4:$U$9</c:f>
              <c:numCache>
                <c:formatCode>General</c:formatCode>
                <c:ptCount val="6"/>
                <c:pt idx="0">
                  <c:v>321.3</c:v>
                </c:pt>
                <c:pt idx="1">
                  <c:v>863.72</c:v>
                </c:pt>
                <c:pt idx="2">
                  <c:v>493.41</c:v>
                </c:pt>
                <c:pt idx="3">
                  <c:v>477.78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88E-40D5-9A0A-88482832C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17152"/>
        <c:axId val="53219712"/>
      </c:scatterChart>
      <c:valAx>
        <c:axId val="53217152"/>
        <c:scaling>
          <c:logBase val="10"/>
          <c:orientation val="minMax"/>
          <c:min val="1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53219712"/>
        <c:crosses val="autoZero"/>
        <c:crossBetween val="midCat"/>
      </c:valAx>
      <c:valAx>
        <c:axId val="53219712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532171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A56-4662-9450-37BA2481FE9D}"/>
            </c:ext>
          </c:extLst>
        </c:ser>
        <c:ser>
          <c:idx val="1"/>
          <c:order val="1"/>
          <c:tx>
            <c:v>WA2</c:v>
          </c:tx>
          <c:spPr>
            <a:ln w="28575">
              <a:noFill/>
            </a:ln>
          </c:spPr>
          <c:xVal>
            <c:numRef>
              <c:f>'SIR 2009-5087 (L Moment Based)'!$G$3:$G$5</c:f>
              <c:numCache>
                <c:formatCode>General</c:formatCode>
                <c:ptCount val="3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</c:f>
              <c:numCache>
                <c:formatCode>_(* #,##0_);_(* \(#,##0\);_(* "-"??_);_(@_)</c:formatCode>
                <c:ptCount val="3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A56-4662-9450-37BA2481FE9D}"/>
            </c:ext>
          </c:extLst>
        </c:ser>
        <c:ser>
          <c:idx val="2"/>
          <c:order val="2"/>
          <c:tx>
            <c:v>WA3</c:v>
          </c:tx>
          <c:spPr>
            <a:ln w="28575">
              <a:noFill/>
            </a:ln>
          </c:spPr>
          <c:xVal>
            <c:numRef>
              <c:f>'SIR 2009-5087 (L Moment Based)'!$G$6:$G$9</c:f>
              <c:numCache>
                <c:formatCode>General</c:formatCode>
                <c:ptCount val="2"/>
              </c:numCache>
            </c:numRef>
          </c:xVal>
          <c:yVal>
            <c:numRef>
              <c:f>'SIR 2009-5087 (L Moment Based)'!$M$6:$M$9</c:f>
              <c:numCache>
                <c:formatCode>_(* #,##0_);_(* \(#,##0\);_(* "-"??_);_(@_)</c:formatCode>
                <c:ptCount val="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A56-4662-9450-37BA2481FE9D}"/>
            </c:ext>
          </c:extLst>
        </c:ser>
        <c:ser>
          <c:idx val="3"/>
          <c:order val="3"/>
          <c:tx>
            <c:strRef>
              <c:f>'Work Area Test Plots'!$S$3</c:f>
              <c:strCache>
                <c:ptCount val="1"/>
                <c:pt idx="0">
                  <c:v>WA ? Test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Plots'!$T$4:$T$9</c:f>
              <c:numCache>
                <c:formatCode>General</c:formatCode>
                <c:ptCount val="6"/>
                <c:pt idx="0">
                  <c:v>0.94799999999999995</c:v>
                </c:pt>
                <c:pt idx="1">
                  <c:v>0.48299999999999998</c:v>
                </c:pt>
                <c:pt idx="2">
                  <c:v>2.4750000000000001</c:v>
                </c:pt>
                <c:pt idx="3">
                  <c:v>0.88800000000000001</c:v>
                </c:pt>
              </c:numCache>
            </c:numRef>
          </c:xVal>
          <c:yVal>
            <c:numRef>
              <c:f>'Work Area Test Plots'!$U$4:$U$9</c:f>
              <c:numCache>
                <c:formatCode>General</c:formatCode>
                <c:ptCount val="6"/>
                <c:pt idx="0">
                  <c:v>321.3</c:v>
                </c:pt>
                <c:pt idx="1">
                  <c:v>863.72</c:v>
                </c:pt>
                <c:pt idx="2">
                  <c:v>493.41</c:v>
                </c:pt>
                <c:pt idx="3">
                  <c:v>477.78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A56-4662-9450-37BA2481F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52480"/>
        <c:axId val="53254784"/>
      </c:scatterChart>
      <c:valAx>
        <c:axId val="53252480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53254784"/>
        <c:crosses val="autoZero"/>
        <c:crossBetween val="midCat"/>
      </c:valAx>
      <c:valAx>
        <c:axId val="53254784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532524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0826421697287834"/>
          <c:y val="0.49584435966122792"/>
          <c:w val="0.21395800524934383"/>
          <c:h val="0.33141651108044484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8A2-4313-8FAE-051569CEBC2D}"/>
            </c:ext>
          </c:extLst>
        </c:ser>
        <c:ser>
          <c:idx val="1"/>
          <c:order val="1"/>
          <c:tx>
            <c:v>WA5</c:v>
          </c:tx>
          <c:spPr>
            <a:ln w="28575">
              <a:noFill/>
            </a:ln>
          </c:spPr>
          <c:xVal>
            <c:numRef>
              <c:f>'SIR 2009-5087 (L Moment Based)'!$G$13:$G$21</c:f>
              <c:numCache>
                <c:formatCode>General</c:formatCode>
                <c:ptCount val="9"/>
              </c:numCache>
            </c:numRef>
          </c:xVal>
          <c:yVal>
            <c:numRef>
              <c:f>'SIR 2009-5087 (L Moment Based)'!$M$13:$M$21</c:f>
              <c:numCache>
                <c:formatCode>_(* #,##0_);_(* \(#,##0\);_(* "-"??_);_(@_)</c:formatCode>
                <c:ptCount val="9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8A2-4313-8FAE-051569CEBC2D}"/>
            </c:ext>
          </c:extLst>
        </c:ser>
        <c:ser>
          <c:idx val="2"/>
          <c:order val="2"/>
          <c:tx>
            <c:v>WA8</c:v>
          </c:tx>
          <c:spPr>
            <a:ln w="28575">
              <a:noFill/>
            </a:ln>
          </c:spPr>
          <c:xVal>
            <c:numRef>
              <c:f>'SIR 2009-5087 (L Moment Based)'!$G$29:$G$35</c:f>
              <c:numCache>
                <c:formatCode>General</c:formatCode>
                <c:ptCount val="7"/>
              </c:numCache>
            </c:numRef>
          </c:xVal>
          <c:yVal>
            <c:numRef>
              <c:f>'SIR 2009-5087 (L Moment Based)'!$M$29:$M$35</c:f>
              <c:numCache>
                <c:formatCode>_(* #,##0_);_(* \(#,##0\);_(* "-"??_);_(@_)</c:formatCode>
                <c:ptCount val="7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8A2-4313-8FAE-051569CEBC2D}"/>
            </c:ext>
          </c:extLst>
        </c:ser>
        <c:ser>
          <c:idx val="3"/>
          <c:order val="3"/>
          <c:tx>
            <c:v>WA10</c:v>
          </c:tx>
          <c:spPr>
            <a:ln w="28575">
              <a:noFill/>
            </a:ln>
          </c:spPr>
          <c:marker>
            <c:symbol val="circle"/>
            <c:size val="7"/>
          </c:marker>
          <c:xVal>
            <c:numRef>
              <c:f>'SIR 2009-5087 (L Moment Based)'!$G$40:$G$48</c:f>
              <c:numCache>
                <c:formatCode>General</c:formatCode>
                <c:ptCount val="9"/>
              </c:numCache>
            </c:numRef>
          </c:xVal>
          <c:yVal>
            <c:numRef>
              <c:f>'SIR 2009-5087 (L Moment Based)'!$M$40:$M$48</c:f>
              <c:numCache>
                <c:formatCode>_(* #,##0_);_(* \(#,##0\);_(* "-"??_);_(@_)</c:formatCode>
                <c:ptCount val="9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8A2-4313-8FAE-051569CEBC2D}"/>
            </c:ext>
          </c:extLst>
        </c:ser>
        <c:ser>
          <c:idx val="4"/>
          <c:order val="4"/>
          <c:tx>
            <c:strRef>
              <c:f>'Work Area Test Plots'!$S$3</c:f>
              <c:strCache>
                <c:ptCount val="1"/>
                <c:pt idx="0">
                  <c:v>WA ? Test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Plots'!$T$4:$T$9</c:f>
              <c:numCache>
                <c:formatCode>General</c:formatCode>
                <c:ptCount val="6"/>
                <c:pt idx="0">
                  <c:v>0.94799999999999995</c:v>
                </c:pt>
                <c:pt idx="1">
                  <c:v>0.48299999999999998</c:v>
                </c:pt>
                <c:pt idx="2">
                  <c:v>2.4750000000000001</c:v>
                </c:pt>
                <c:pt idx="3">
                  <c:v>0.88800000000000001</c:v>
                </c:pt>
              </c:numCache>
            </c:numRef>
          </c:xVal>
          <c:yVal>
            <c:numRef>
              <c:f>'Work Area Test Plots'!$U$4:$U$9</c:f>
              <c:numCache>
                <c:formatCode>General</c:formatCode>
                <c:ptCount val="6"/>
                <c:pt idx="0">
                  <c:v>321.3</c:v>
                </c:pt>
                <c:pt idx="1">
                  <c:v>863.72</c:v>
                </c:pt>
                <c:pt idx="2">
                  <c:v>493.41</c:v>
                </c:pt>
                <c:pt idx="3">
                  <c:v>477.78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8A2-4313-8FAE-051569CEB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641600"/>
        <c:axId val="53643904"/>
      </c:scatterChart>
      <c:valAx>
        <c:axId val="53641600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53643904"/>
        <c:crosses val="autoZero"/>
        <c:crossBetween val="midCat"/>
      </c:valAx>
      <c:valAx>
        <c:axId val="53643904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536416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2770866141732282"/>
          <c:y val="0.42997958588509771"/>
          <c:w val="0.21395800524934383"/>
          <c:h val="0.41858595800524934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71-47F4-B625-3907125859D8}"/>
            </c:ext>
          </c:extLst>
        </c:ser>
        <c:ser>
          <c:idx val="5"/>
          <c:order val="1"/>
          <c:tx>
            <c:v>WA4</c:v>
          </c:tx>
          <c:spPr>
            <a:ln w="28575">
              <a:noFill/>
            </a:ln>
          </c:spPr>
          <c:xVal>
            <c:numRef>
              <c:f>'SIR 2009-5087 (L Moment Based)'!$G$10:$G$12</c:f>
              <c:numCache>
                <c:formatCode>General</c:formatCode>
                <c:ptCount val="3"/>
              </c:numCache>
            </c:numRef>
          </c:xVal>
          <c:yVal>
            <c:numRef>
              <c:f>'SIR 2009-5087 (L Moment Based)'!$M$10:$M$12</c:f>
              <c:numCache>
                <c:formatCode>_(* #,##0_);_(* \(#,##0\);_(* "-"??_);_(@_)</c:formatCode>
                <c:ptCount val="3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71-47F4-B625-3907125859D8}"/>
            </c:ext>
          </c:extLst>
        </c:ser>
        <c:ser>
          <c:idx val="1"/>
          <c:order val="2"/>
          <c:tx>
            <c:v>WA6</c:v>
          </c:tx>
          <c:spPr>
            <a:ln w="28575">
              <a:noFill/>
            </a:ln>
          </c:spPr>
          <c:xVal>
            <c:numRef>
              <c:f>'SIR 2009-5087 (L Moment Based)'!$G$22:$G$26</c:f>
              <c:numCache>
                <c:formatCode>General</c:formatCode>
                <c:ptCount val="5"/>
              </c:numCache>
            </c:numRef>
          </c:xVal>
          <c:yVal>
            <c:numRef>
              <c:f>'SIR 2009-5087 (L Moment Based)'!$M$22:$M$26</c:f>
              <c:numCache>
                <c:formatCode>_(* #,##0_);_(* \(#,##0\);_(* "-"??_);_(@_)</c:formatCode>
                <c:ptCount val="5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71-47F4-B625-3907125859D8}"/>
            </c:ext>
          </c:extLst>
        </c:ser>
        <c:ser>
          <c:idx val="2"/>
          <c:order val="3"/>
          <c:tx>
            <c:v>WA7</c:v>
          </c:tx>
          <c:spPr>
            <a:ln w="28575">
              <a:noFill/>
            </a:ln>
          </c:spPr>
          <c:xVal>
            <c:numRef>
              <c:f>'SIR 2009-5087 (L Moment Based)'!$G$27:$G$28</c:f>
              <c:numCache>
                <c:formatCode>General</c:formatCode>
                <c:ptCount val="2"/>
              </c:numCache>
            </c:numRef>
          </c:xVal>
          <c:yVal>
            <c:numRef>
              <c:f>'SIR 2009-5087 (L Moment Based)'!$M$27:$M$28</c:f>
              <c:numCache>
                <c:formatCode>_(* #,##0_);_(* \(#,##0\);_(* "-"??_);_(@_)</c:formatCode>
                <c:ptCount val="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971-47F4-B625-3907125859D8}"/>
            </c:ext>
          </c:extLst>
        </c:ser>
        <c:ser>
          <c:idx val="3"/>
          <c:order val="4"/>
          <c:tx>
            <c:v>WA9</c:v>
          </c:tx>
          <c:spPr>
            <a:ln w="28575">
              <a:noFill/>
            </a:ln>
          </c:spPr>
          <c:marker>
            <c:symbol val="circle"/>
            <c:size val="7"/>
          </c:marker>
          <c:xVal>
            <c:numRef>
              <c:f>'SIR 2009-5087 (L Moment Based)'!$G$36:$G$39</c:f>
              <c:numCache>
                <c:formatCode>General</c:formatCode>
                <c:ptCount val="4"/>
              </c:numCache>
            </c:numRef>
          </c:xVal>
          <c:yVal>
            <c:numRef>
              <c:f>'SIR 2009-5087 (L Moment Based)'!$M$36:$M$39</c:f>
              <c:numCache>
                <c:formatCode>_(* #,##0_);_(* \(#,##0\);_(* "-"??_);_(@_)</c:formatCode>
                <c:ptCount val="4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971-47F4-B625-3907125859D8}"/>
            </c:ext>
          </c:extLst>
        </c:ser>
        <c:ser>
          <c:idx val="4"/>
          <c:order val="5"/>
          <c:tx>
            <c:v>WA11</c:v>
          </c:tx>
          <c:spPr>
            <a:ln w="28575">
              <a:noFill/>
            </a:ln>
          </c:spPr>
          <c:marker>
            <c:symbol val="square"/>
            <c:size val="7"/>
          </c:marker>
          <c:xVal>
            <c:numRef>
              <c:f>'SIR 2009-5087 (L Moment Based)'!$G$49</c:f>
              <c:numCache>
                <c:formatCode>General</c:formatCode>
                <c:ptCount val="1"/>
              </c:numCache>
            </c:numRef>
          </c:xVal>
          <c:yVal>
            <c:numRef>
              <c:f>'SIR 2009-5087 (L Moment Based)'!$M$49</c:f>
              <c:numCache>
                <c:formatCode>_(* #,##0_);_(* \(#,##0\);_(* "-"??_);_(@_)</c:formatCode>
                <c:ptCount val="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971-47F4-B625-3907125859D8}"/>
            </c:ext>
          </c:extLst>
        </c:ser>
        <c:ser>
          <c:idx val="6"/>
          <c:order val="6"/>
          <c:tx>
            <c:strRef>
              <c:f>'Work Area Test Plots'!$S$3</c:f>
              <c:strCache>
                <c:ptCount val="1"/>
                <c:pt idx="0">
                  <c:v>WA ? Test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Plots'!$T$4:$T$9</c:f>
              <c:numCache>
                <c:formatCode>General</c:formatCode>
                <c:ptCount val="6"/>
                <c:pt idx="0">
                  <c:v>0.94799999999999995</c:v>
                </c:pt>
                <c:pt idx="1">
                  <c:v>0.48299999999999998</c:v>
                </c:pt>
                <c:pt idx="2">
                  <c:v>2.4750000000000001</c:v>
                </c:pt>
                <c:pt idx="3">
                  <c:v>0.88800000000000001</c:v>
                </c:pt>
              </c:numCache>
            </c:numRef>
          </c:xVal>
          <c:yVal>
            <c:numRef>
              <c:f>'Work Area Test Plots'!$U$4:$U$9</c:f>
              <c:numCache>
                <c:formatCode>General</c:formatCode>
                <c:ptCount val="6"/>
                <c:pt idx="0">
                  <c:v>321.3</c:v>
                </c:pt>
                <c:pt idx="1">
                  <c:v>863.72</c:v>
                </c:pt>
                <c:pt idx="2">
                  <c:v>493.41</c:v>
                </c:pt>
                <c:pt idx="3">
                  <c:v>477.78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971-47F4-B625-390712585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66784"/>
        <c:axId val="53806208"/>
      </c:scatterChart>
      <c:valAx>
        <c:axId val="53766784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53806208"/>
        <c:crosses val="autoZero"/>
        <c:crossBetween val="midCat"/>
      </c:valAx>
      <c:valAx>
        <c:axId val="53806208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537667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8881977252843395"/>
          <c:y val="0.60590551181102359"/>
          <c:w val="0.44729133858267717"/>
          <c:h val="0.24304389034703996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AF-4F6A-ACAC-EBC63A68F3E8}"/>
            </c:ext>
          </c:extLst>
        </c:ser>
        <c:ser>
          <c:idx val="1"/>
          <c:order val="1"/>
          <c:tx>
            <c:v>WA2 Regression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'SIR 2009-5087 (L Moment Based)'!$S$3:$S$5</c:f>
                <c:numCache>
                  <c:formatCode>General</c:formatCode>
                  <c:ptCount val="3"/>
                  <c:pt idx="0">
                    <c:v>2944.2233687614275</c:v>
                  </c:pt>
                  <c:pt idx="1">
                    <c:v>11233.984505674362</c:v>
                  </c:pt>
                  <c:pt idx="2">
                    <c:v>8249.9454578915847</c:v>
                  </c:pt>
                </c:numCache>
              </c:numRef>
            </c:plus>
            <c:minus>
              <c:numRef>
                <c:f>'SIR 2009-5087 (L Moment Based)'!$R$3:$R$5</c:f>
                <c:numCache>
                  <c:formatCode>General</c:formatCode>
                  <c:ptCount val="3"/>
                  <c:pt idx="0">
                    <c:v>1475.6071653703075</c:v>
                  </c:pt>
                  <c:pt idx="1">
                    <c:v>5630.3296170105486</c:v>
                  </c:pt>
                  <c:pt idx="2">
                    <c:v>4134.7673416165426</c:v>
                  </c:pt>
                </c:numCache>
              </c:numRef>
            </c:minus>
          </c:errBars>
          <c:xVal>
            <c:numRef>
              <c:f>'SIR 2009-5087 (L Moment Based)'!$G$3:$G$5</c:f>
              <c:numCache>
                <c:formatCode>General</c:formatCode>
                <c:ptCount val="3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</c:f>
              <c:numCache>
                <c:formatCode>_(* #,##0_);_(* \(#,##0\);_(* "-"??_);_(@_)</c:formatCode>
                <c:ptCount val="3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AF-4F6A-ACAC-EBC63A68F3E8}"/>
            </c:ext>
          </c:extLst>
        </c:ser>
        <c:ser>
          <c:idx val="3"/>
          <c:order val="2"/>
          <c:tx>
            <c:v>WA2 RAS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Plots'!$V$37:$V$40</c:f>
              <c:numCache>
                <c:formatCode>General</c:formatCode>
                <c:ptCount val="4"/>
                <c:pt idx="0">
                  <c:v>0.94799999999999995</c:v>
                </c:pt>
                <c:pt idx="1">
                  <c:v>0.48299999999999998</c:v>
                </c:pt>
                <c:pt idx="2">
                  <c:v>2.4750000000000001</c:v>
                </c:pt>
                <c:pt idx="3">
                  <c:v>0.88800000000000001</c:v>
                </c:pt>
              </c:numCache>
            </c:numRef>
          </c:xVal>
          <c:yVal>
            <c:numRef>
              <c:f>'Work Area Test Plots'!$W$37:$W$40</c:f>
              <c:numCache>
                <c:formatCode>General</c:formatCode>
                <c:ptCount val="4"/>
                <c:pt idx="0">
                  <c:v>321.3</c:v>
                </c:pt>
                <c:pt idx="1">
                  <c:v>863.72</c:v>
                </c:pt>
                <c:pt idx="2">
                  <c:v>493.41</c:v>
                </c:pt>
                <c:pt idx="3">
                  <c:v>477.78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9AF-4F6A-ACAC-EBC63A68F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501312"/>
        <c:axId val="71503872"/>
      </c:scatterChart>
      <c:valAx>
        <c:axId val="71501312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1503872"/>
        <c:crosses val="autoZero"/>
        <c:crossBetween val="midCat"/>
      </c:valAx>
      <c:valAx>
        <c:axId val="71503872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715013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7493088363954501"/>
          <c:y val="0.62871950284564948"/>
          <c:w val="0.26673578302712159"/>
          <c:h val="0.22145087534161323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D9-4E82-82BB-9C29DC1CB949}"/>
            </c:ext>
          </c:extLst>
        </c:ser>
        <c:ser>
          <c:idx val="2"/>
          <c:order val="1"/>
          <c:tx>
            <c:v>WA3 Regression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'SIR 2009-5087 (L Moment Based)'!$S$6:$S$9</c:f>
                <c:numCache>
                  <c:formatCode>General</c:formatCode>
                  <c:ptCount val="2"/>
                  <c:pt idx="1">
                    <c:v>41583.949999999997</c:v>
                  </c:pt>
                </c:numCache>
              </c:numRef>
            </c:plus>
            <c:minus>
              <c:numRef>
                <c:f>'SIR 2009-5087 (L Moment Based)'!$R$6:$R$9</c:f>
                <c:numCache>
                  <c:formatCode>General</c:formatCode>
                  <c:ptCount val="2"/>
                </c:numCache>
              </c:numRef>
            </c:minus>
          </c:errBars>
          <c:xVal>
            <c:numRef>
              <c:f>'SIR 2009-5087 (L Moment Based)'!$G$6:$G$9</c:f>
              <c:numCache>
                <c:formatCode>General</c:formatCode>
                <c:ptCount val="2"/>
              </c:numCache>
            </c:numRef>
          </c:xVal>
          <c:yVal>
            <c:numRef>
              <c:f>'SIR 2009-5087 (L Moment Based)'!$M$6:$M$9</c:f>
              <c:numCache>
                <c:formatCode>_(* #,##0_);_(* \(#,##0\);_(* "-"??_);_(@_)</c:formatCode>
                <c:ptCount val="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D9-4E82-82BB-9C29DC1CB949}"/>
            </c:ext>
          </c:extLst>
        </c:ser>
        <c:ser>
          <c:idx val="3"/>
          <c:order val="2"/>
          <c:tx>
            <c:v>WA3 RAS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Plots'!$V$41:$V$44</c:f>
              <c:numCache>
                <c:formatCode>General</c:formatCode>
                <c:ptCount val="4"/>
                <c:pt idx="0">
                  <c:v>1.43</c:v>
                </c:pt>
                <c:pt idx="1">
                  <c:v>3.96</c:v>
                </c:pt>
                <c:pt idx="2">
                  <c:v>4.18</c:v>
                </c:pt>
                <c:pt idx="3">
                  <c:v>2.2000000000000002</c:v>
                </c:pt>
              </c:numCache>
            </c:numRef>
          </c:xVal>
          <c:yVal>
            <c:numRef>
              <c:f>'Work Area Test Plots'!$W$41:$W$44</c:f>
              <c:numCache>
                <c:formatCode>General</c:formatCode>
                <c:ptCount val="4"/>
                <c:pt idx="0">
                  <c:v>336</c:v>
                </c:pt>
                <c:pt idx="1">
                  <c:v>1712</c:v>
                </c:pt>
                <c:pt idx="2">
                  <c:v>3046</c:v>
                </c:pt>
                <c:pt idx="3">
                  <c:v>1864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CD9-4E82-82BB-9C29DC1CB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519616"/>
        <c:axId val="71526272"/>
      </c:scatterChart>
      <c:valAx>
        <c:axId val="71519616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1526272"/>
        <c:crosses val="autoZero"/>
        <c:crossBetween val="midCat"/>
      </c:valAx>
      <c:valAx>
        <c:axId val="71526272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715196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715310586176726"/>
          <c:y val="0.62871950284564948"/>
          <c:w val="0.24173578302712162"/>
          <c:h val="0.2260327768307312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7462817147856"/>
          <c:y val="5.1400554097404488E-2"/>
          <c:w val="0.78878915135608041"/>
          <c:h val="0.80852216389617959"/>
        </c:manualLayout>
      </c:layout>
      <c:scatterChart>
        <c:scatterStyle val="lineMarker"/>
        <c:varyColors val="0"/>
        <c:ser>
          <c:idx val="0"/>
          <c:order val="0"/>
          <c:tx>
            <c:v>All Work Areas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'SIR 2009-5087 (L Moment Based)'!$G$3:$G$51</c:f>
              <c:numCache>
                <c:formatCode>General</c:formatCode>
                <c:ptCount val="47"/>
                <c:pt idx="0">
                  <c:v>7.87</c:v>
                </c:pt>
                <c:pt idx="1">
                  <c:v>51.51</c:v>
                </c:pt>
                <c:pt idx="2">
                  <c:v>44.1</c:v>
                </c:pt>
              </c:numCache>
            </c:numRef>
          </c:xVal>
          <c:yVal>
            <c:numRef>
              <c:f>'SIR 2009-5087 (L Moment Based)'!$M$3:$M$51</c:f>
              <c:numCache>
                <c:formatCode>_(* #,##0_);_(* \(#,##0\);_(* "-"??_);_(@_)</c:formatCode>
                <c:ptCount val="47"/>
                <c:pt idx="0">
                  <c:v>2958.2385713594417</c:v>
                </c:pt>
                <c:pt idx="1">
                  <c:v>11287.460940411074</c:v>
                </c:pt>
                <c:pt idx="2">
                  <c:v>8289.2171579404294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5B6-41FC-8B7E-A7DA9593E589}"/>
            </c:ext>
          </c:extLst>
        </c:ser>
        <c:ser>
          <c:idx val="5"/>
          <c:order val="1"/>
          <c:tx>
            <c:v>WA4 Regression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'SIR 2009-5087 (L Moment Based)'!$S$10:$S$12</c:f>
                <c:numCache>
                  <c:formatCode>General</c:formatCode>
                  <c:ptCount val="3"/>
                  <c:pt idx="0">
                    <c:v>11202.2</c:v>
                  </c:pt>
                  <c:pt idx="1">
                    <c:v>3003.79</c:v>
                  </c:pt>
                </c:numCache>
              </c:numRef>
            </c:plus>
            <c:minus>
              <c:numRef>
                <c:f>'SIR 2009-5087 (L Moment Based)'!$R$10:$R$12</c:f>
                <c:numCache>
                  <c:formatCode>General</c:formatCode>
                  <c:ptCount val="3"/>
                  <c:pt idx="0">
                    <c:v>3.7710331953697769</c:v>
                  </c:pt>
                  <c:pt idx="1">
                    <c:v>3.4710331953697771</c:v>
                  </c:pt>
                  <c:pt idx="2">
                    <c:v>1.0413099586109331</c:v>
                  </c:pt>
                </c:numCache>
              </c:numRef>
            </c:minus>
          </c:errBars>
          <c:xVal>
            <c:numRef>
              <c:f>'SIR 2009-5087 (L Moment Based)'!$G$10:$G$12</c:f>
              <c:numCache>
                <c:formatCode>General</c:formatCode>
                <c:ptCount val="3"/>
              </c:numCache>
            </c:numRef>
          </c:xVal>
          <c:yVal>
            <c:numRef>
              <c:f>'SIR 2009-5087 (L Moment Based)'!$M$10:$M$12</c:f>
              <c:numCache>
                <c:formatCode>_(* #,##0_);_(* \(#,##0\);_(* "-"??_);_(@_)</c:formatCode>
                <c:ptCount val="3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5B6-41FC-8B7E-A7DA9593E589}"/>
            </c:ext>
          </c:extLst>
        </c:ser>
        <c:ser>
          <c:idx val="6"/>
          <c:order val="2"/>
          <c:tx>
            <c:v>WA4 RAS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'Work Area Test Plots'!$V$49:$V$50</c:f>
              <c:numCache>
                <c:formatCode>General</c:formatCode>
                <c:ptCount val="2"/>
                <c:pt idx="0">
                  <c:v>7.72</c:v>
                </c:pt>
                <c:pt idx="1">
                  <c:v>5.33</c:v>
                </c:pt>
              </c:numCache>
            </c:numRef>
          </c:xVal>
          <c:yVal>
            <c:numRef>
              <c:f>'Work Area Test Plots'!$W$49:$W$50</c:f>
              <c:numCache>
                <c:formatCode>General</c:formatCode>
                <c:ptCount val="2"/>
                <c:pt idx="0">
                  <c:v>70</c:v>
                </c:pt>
                <c:pt idx="1">
                  <c:v>49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5B6-41FC-8B7E-A7DA9593E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562752"/>
        <c:axId val="73744384"/>
      </c:scatterChart>
      <c:valAx>
        <c:axId val="71562752"/>
        <c:scaling>
          <c:logBase val="10"/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Drainage area (square</a:t>
                </a:r>
                <a:r>
                  <a:rPr lang="en-US" baseline="0"/>
                  <a:t> miles)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3744384"/>
        <c:crosses val="autoZero"/>
        <c:crossBetween val="midCat"/>
      </c:valAx>
      <c:valAx>
        <c:axId val="73744384"/>
        <c:scaling>
          <c:logBase val="10"/>
          <c:orientation val="minMax"/>
          <c:min val="10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1% Regression</a:t>
                </a:r>
                <a:r>
                  <a:rPr lang="en-US" baseline="0"/>
                  <a:t> Flow (cfs)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715627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159755030621173"/>
          <c:y val="0.60127588218139405"/>
          <c:w val="0.24451356080489939"/>
          <c:h val="0.24304389034703996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chart" Target="../charts/chart15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7891</xdr:colOff>
      <xdr:row>13</xdr:row>
      <xdr:rowOff>161438</xdr:rowOff>
    </xdr:from>
    <xdr:to>
      <xdr:col>2</xdr:col>
      <xdr:colOff>872718</xdr:colOff>
      <xdr:row>25</xdr:row>
      <xdr:rowOff>72648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" y="2663769"/>
          <a:ext cx="4182433" cy="2235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400049</xdr:colOff>
      <xdr:row>7</xdr:row>
      <xdr:rowOff>166686</xdr:rowOff>
    </xdr:from>
    <xdr:to>
      <xdr:col>16</xdr:col>
      <xdr:colOff>733425</xdr:colOff>
      <xdr:row>30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709612</xdr:colOff>
      <xdr:row>21</xdr:row>
      <xdr:rowOff>126206</xdr:rowOff>
    </xdr:from>
    <xdr:to>
      <xdr:col>36</xdr:col>
      <xdr:colOff>455667</xdr:colOff>
      <xdr:row>53</xdr:row>
      <xdr:rowOff>134400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56393" y="4722019"/>
          <a:ext cx="13038089" cy="6171429"/>
        </a:xfrm>
        <a:prstGeom prst="rect">
          <a:avLst/>
        </a:prstGeom>
      </xdr:spPr>
    </xdr:pic>
    <xdr:clientData/>
  </xdr:twoCellAnchor>
  <xdr:twoCellAnchor editAs="oneCell">
    <xdr:from>
      <xdr:col>25</xdr:col>
      <xdr:colOff>509686</xdr:colOff>
      <xdr:row>5</xdr:row>
      <xdr:rowOff>0</xdr:rowOff>
    </xdr:from>
    <xdr:to>
      <xdr:col>39</xdr:col>
      <xdr:colOff>299012</xdr:colOff>
      <xdr:row>21</xdr:row>
      <xdr:rowOff>59396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897077" y="1672568"/>
          <a:ext cx="8370108" cy="27585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9</xdr:row>
      <xdr:rowOff>57150</xdr:rowOff>
    </xdr:from>
    <xdr:to>
      <xdr:col>14</xdr:col>
      <xdr:colOff>219076</xdr:colOff>
      <xdr:row>32</xdr:row>
      <xdr:rowOff>42864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9</xdr:col>
      <xdr:colOff>304800</xdr:colOff>
      <xdr:row>15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17</xdr:col>
      <xdr:colOff>304800</xdr:colOff>
      <xdr:row>15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9</xdr:col>
      <xdr:colOff>304800</xdr:colOff>
      <xdr:row>30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16</xdr:row>
      <xdr:rowOff>0</xdr:rowOff>
    </xdr:from>
    <xdr:to>
      <xdr:col>17</xdr:col>
      <xdr:colOff>304800</xdr:colOff>
      <xdr:row>30</xdr:row>
      <xdr:rowOff>76200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31</xdr:row>
      <xdr:rowOff>0</xdr:rowOff>
    </xdr:from>
    <xdr:to>
      <xdr:col>9</xdr:col>
      <xdr:colOff>304800</xdr:colOff>
      <xdr:row>45</xdr:row>
      <xdr:rowOff>104775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17</xdr:col>
      <xdr:colOff>304800</xdr:colOff>
      <xdr:row>45</xdr:row>
      <xdr:rowOff>104775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46</xdr:row>
      <xdr:rowOff>0</xdr:rowOff>
    </xdr:from>
    <xdr:to>
      <xdr:col>9</xdr:col>
      <xdr:colOff>304800</xdr:colOff>
      <xdr:row>60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61</xdr:row>
      <xdr:rowOff>0</xdr:rowOff>
    </xdr:from>
    <xdr:to>
      <xdr:col>9</xdr:col>
      <xdr:colOff>304800</xdr:colOff>
      <xdr:row>75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0</xdr:colOff>
      <xdr:row>61</xdr:row>
      <xdr:rowOff>0</xdr:rowOff>
    </xdr:from>
    <xdr:to>
      <xdr:col>17</xdr:col>
      <xdr:colOff>304800</xdr:colOff>
      <xdr:row>75</xdr:row>
      <xdr:rowOff>76200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76</xdr:row>
      <xdr:rowOff>0</xdr:rowOff>
    </xdr:from>
    <xdr:to>
      <xdr:col>17</xdr:col>
      <xdr:colOff>304800</xdr:colOff>
      <xdr:row>90</xdr:row>
      <xdr:rowOff>76200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0</xdr:colOff>
      <xdr:row>91</xdr:row>
      <xdr:rowOff>0</xdr:rowOff>
    </xdr:from>
    <xdr:to>
      <xdr:col>17</xdr:col>
      <xdr:colOff>304800</xdr:colOff>
      <xdr:row>105</xdr:row>
      <xdr:rowOff>76200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0</xdr:colOff>
      <xdr:row>46</xdr:row>
      <xdr:rowOff>0</xdr:rowOff>
    </xdr:from>
    <xdr:to>
      <xdr:col>17</xdr:col>
      <xdr:colOff>304800</xdr:colOff>
      <xdr:row>60</xdr:row>
      <xdr:rowOff>76200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0</xdr:colOff>
      <xdr:row>76</xdr:row>
      <xdr:rowOff>0</xdr:rowOff>
    </xdr:from>
    <xdr:to>
      <xdr:col>9</xdr:col>
      <xdr:colOff>304800</xdr:colOff>
      <xdr:row>90</xdr:row>
      <xdr:rowOff>76200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0</xdr:colOff>
      <xdr:row>91</xdr:row>
      <xdr:rowOff>0</xdr:rowOff>
    </xdr:from>
    <xdr:to>
      <xdr:col>9</xdr:col>
      <xdr:colOff>304800</xdr:colOff>
      <xdr:row>105</xdr:row>
      <xdr:rowOff>76200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0.38125</cdr:x>
      <cdr:y>0.74653</cdr:y>
    </cdr:from>
    <cdr:to>
      <cdr:x>0.68819</cdr:x>
      <cdr:y>0.82639</cdr:y>
    </cdr:to>
    <cdr:sp macro="" textlink="">
      <cdr:nvSpPr>
        <cdr:cNvPr id="2" name="Line Callout 1 1"/>
        <cdr:cNvSpPr/>
      </cdr:nvSpPr>
      <cdr:spPr>
        <a:xfrm xmlns:a="http://schemas.openxmlformats.org/drawingml/2006/main">
          <a:off x="1743075" y="2047874"/>
          <a:ext cx="1403350" cy="219075"/>
        </a:xfrm>
        <a:prstGeom xmlns:a="http://schemas.openxmlformats.org/drawingml/2006/main" prst="borderCallout1">
          <a:avLst>
            <a:gd name="adj1" fmla="val -39348"/>
            <a:gd name="adj2" fmla="val 88503"/>
            <a:gd name="adj3" fmla="val -293332"/>
            <a:gd name="adj4" fmla="val 112011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9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Fabens Arroyo DS of I-10</a:t>
          </a:r>
          <a:endParaRPr lang="en-US" sz="900">
            <a:solidFill>
              <a:sysClr val="windowText" lastClr="000000"/>
            </a:solidFill>
            <a:effectLst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0.47986</cdr:x>
      <cdr:y>0.07407</cdr:y>
    </cdr:from>
    <cdr:to>
      <cdr:x>0.74236</cdr:x>
      <cdr:y>0.20833</cdr:y>
    </cdr:to>
    <cdr:sp macro="" textlink="">
      <cdr:nvSpPr>
        <cdr:cNvPr id="2" name="Line Callout 1 1"/>
        <cdr:cNvSpPr/>
      </cdr:nvSpPr>
      <cdr:spPr>
        <a:xfrm xmlns:a="http://schemas.openxmlformats.org/drawingml/2006/main">
          <a:off x="2193925" y="203200"/>
          <a:ext cx="1200150" cy="368300"/>
        </a:xfrm>
        <a:prstGeom xmlns:a="http://schemas.openxmlformats.org/drawingml/2006/main" prst="borderCallout1">
          <a:avLst>
            <a:gd name="adj1" fmla="val 72084"/>
            <a:gd name="adj2" fmla="val 102778"/>
            <a:gd name="adj3" fmla="val 115814"/>
            <a:gd name="adj4" fmla="val 119604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9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Unnamed Flowpath 118 US of I10</a:t>
          </a:r>
          <a:endParaRPr lang="en-US" sz="900">
            <a:solidFill>
              <a:sysClr val="windowText" lastClr="000000"/>
            </a:solidFill>
            <a:effectLst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0.67708</cdr:x>
      <cdr:y>0.08681</cdr:y>
    </cdr:from>
    <cdr:to>
      <cdr:x>0.93958</cdr:x>
      <cdr:y>0.22569</cdr:y>
    </cdr:to>
    <cdr:sp macro="" textlink="">
      <cdr:nvSpPr>
        <cdr:cNvPr id="2" name="Line Callout 1 1"/>
        <cdr:cNvSpPr/>
      </cdr:nvSpPr>
      <cdr:spPr>
        <a:xfrm xmlns:a="http://schemas.openxmlformats.org/drawingml/2006/main">
          <a:off x="3095625" y="238125"/>
          <a:ext cx="1200150" cy="381000"/>
        </a:xfrm>
        <a:prstGeom xmlns:a="http://schemas.openxmlformats.org/drawingml/2006/main" prst="borderCallout1">
          <a:avLst>
            <a:gd name="adj1" fmla="val 74306"/>
            <a:gd name="adj2" fmla="val -4365"/>
            <a:gd name="adj3" fmla="val 156944"/>
            <a:gd name="adj4" fmla="val -32777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Unnamed Arroyo J / </a:t>
          </a:r>
          <a:br>
            <a:rPr lang="en-US" sz="9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Fort Bliss Arroy 6</a:t>
          </a:r>
          <a:endParaRPr lang="en-US" sz="900">
            <a:solidFill>
              <a:sysClr val="windowText" lastClr="000000"/>
            </a:solidFill>
            <a:effectLst/>
          </a:endParaRPr>
        </a:p>
        <a:p xmlns:a="http://schemas.openxmlformats.org/drawingml/2006/main">
          <a:endParaRPr lang="en-US" sz="9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0.325</cdr:x>
      <cdr:y>0.73032</cdr:y>
    </cdr:from>
    <cdr:to>
      <cdr:x>0.69514</cdr:x>
      <cdr:y>0.85069</cdr:y>
    </cdr:to>
    <cdr:sp macro="" textlink="">
      <cdr:nvSpPr>
        <cdr:cNvPr id="2" name="Line Callout 1 1"/>
        <cdr:cNvSpPr/>
      </cdr:nvSpPr>
      <cdr:spPr>
        <a:xfrm xmlns:a="http://schemas.openxmlformats.org/drawingml/2006/main">
          <a:off x="1485900" y="2003425"/>
          <a:ext cx="1692275" cy="330200"/>
        </a:xfrm>
        <a:prstGeom xmlns:a="http://schemas.openxmlformats.org/drawingml/2006/main" prst="borderCallout1">
          <a:avLst>
            <a:gd name="adj1" fmla="val -43696"/>
            <a:gd name="adj2" fmla="val 73571"/>
            <a:gd name="adj3" fmla="val -256208"/>
            <a:gd name="adj4" fmla="val 97507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9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 and 4: Fabens Arroyo DS of Horizon  Boulevard / FM 1281</a:t>
          </a:r>
          <a:endParaRPr lang="en-US" sz="900">
            <a:solidFill>
              <a:sysClr val="windowText" lastClr="000000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0.16528</cdr:x>
      <cdr:y>0.06713</cdr:y>
    </cdr:from>
    <cdr:to>
      <cdr:x>0.42917</cdr:x>
      <cdr:y>0.1875</cdr:y>
    </cdr:to>
    <cdr:sp macro="" textlink="">
      <cdr:nvSpPr>
        <cdr:cNvPr id="3" name="Line Callout 1 2"/>
        <cdr:cNvSpPr/>
      </cdr:nvSpPr>
      <cdr:spPr>
        <a:xfrm xmlns:a="http://schemas.openxmlformats.org/drawingml/2006/main">
          <a:off x="755650" y="184150"/>
          <a:ext cx="1206500" cy="330200"/>
        </a:xfrm>
        <a:prstGeom xmlns:a="http://schemas.openxmlformats.org/drawingml/2006/main" prst="borderCallout1">
          <a:avLst>
            <a:gd name="adj1" fmla="val 109189"/>
            <a:gd name="adj2" fmla="val 14057"/>
            <a:gd name="adj3" fmla="val 280330"/>
            <a:gd name="adj4" fmla="val 69087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9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1: Headwaters of Pow Wow Canyon Creek</a:t>
          </a:r>
          <a:endParaRPr lang="en-US" sz="900">
            <a:solidFill>
              <a:sysClr val="windowText" lastClr="000000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0.52361</cdr:x>
      <cdr:y>0.0706</cdr:y>
    </cdr:from>
    <cdr:to>
      <cdr:x>0.77083</cdr:x>
      <cdr:y>0.15625</cdr:y>
    </cdr:to>
    <cdr:sp macro="" textlink="">
      <cdr:nvSpPr>
        <cdr:cNvPr id="4" name="Line Callout 1 3"/>
        <cdr:cNvSpPr/>
      </cdr:nvSpPr>
      <cdr:spPr>
        <a:xfrm xmlns:a="http://schemas.openxmlformats.org/drawingml/2006/main">
          <a:off x="2393950" y="193675"/>
          <a:ext cx="1130300" cy="234950"/>
        </a:xfrm>
        <a:prstGeom xmlns:a="http://schemas.openxmlformats.org/drawingml/2006/main" prst="borderCallout1">
          <a:avLst>
            <a:gd name="adj1" fmla="val 109189"/>
            <a:gd name="adj2" fmla="val 14057"/>
            <a:gd name="adj3" fmla="val 397274"/>
            <a:gd name="adj4" fmla="val 21896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9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2: Martin Canyon</a:t>
          </a:r>
          <a:endParaRPr lang="en-US" sz="900">
            <a:solidFill>
              <a:sysClr val="windowText" lastClr="000000"/>
            </a:solidFill>
            <a:effectLst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3"/>
  <sheetViews>
    <sheetView tabSelected="1" zoomScale="118" zoomScaleNormal="118" workbookViewId="0">
      <selection activeCell="O13" sqref="O13"/>
    </sheetView>
  </sheetViews>
  <sheetFormatPr defaultColWidth="9.140625" defaultRowHeight="15" x14ac:dyDescent="0.25"/>
  <cols>
    <col min="1" max="1" width="26.140625" style="22" bestFit="1" customWidth="1"/>
    <col min="2" max="2" width="23.5703125" style="22" bestFit="1" customWidth="1"/>
    <col min="3" max="3" width="23.5703125" style="22" customWidth="1"/>
    <col min="4" max="4" width="10.5703125" style="22" bestFit="1" customWidth="1"/>
    <col min="5" max="5" width="12" style="22" hidden="1" customWidth="1"/>
    <col min="6" max="6" width="13.140625" style="22" hidden="1" customWidth="1"/>
    <col min="7" max="7" width="14.140625" style="22" hidden="1" customWidth="1"/>
    <col min="8" max="8" width="16.140625" style="22" customWidth="1"/>
    <col min="9" max="9" width="7.140625" style="22" bestFit="1" customWidth="1"/>
    <col min="10" max="10" width="10.28515625" style="22" customWidth="1"/>
    <col min="11" max="11" width="13.85546875" style="22" customWidth="1"/>
    <col min="12" max="12" width="10.5703125" style="22" customWidth="1"/>
    <col min="13" max="13" width="10.85546875" style="22" customWidth="1"/>
    <col min="14" max="14" width="10.5703125" style="22" customWidth="1"/>
    <col min="15" max="15" width="12.140625" style="22" customWidth="1"/>
    <col min="16" max="16" width="12.28515625" style="22" bestFit="1" customWidth="1"/>
    <col min="17" max="17" width="7.140625" style="22" bestFit="1" customWidth="1"/>
    <col min="18" max="16384" width="9.140625" style="22"/>
  </cols>
  <sheetData>
    <row r="1" spans="1:16" thickBot="1" x14ac:dyDescent="0.35">
      <c r="A1" s="58"/>
      <c r="B1" s="59"/>
      <c r="C1" s="59"/>
      <c r="D1" s="59"/>
      <c r="E1" s="59"/>
      <c r="F1" s="59"/>
      <c r="G1" s="59"/>
      <c r="H1" s="59"/>
      <c r="I1" s="59"/>
      <c r="J1" s="59"/>
      <c r="K1" s="115" t="s">
        <v>136</v>
      </c>
      <c r="L1" s="115"/>
      <c r="M1" s="115"/>
      <c r="N1" s="115"/>
      <c r="O1" s="116"/>
      <c r="P1" s="22" t="s">
        <v>175</v>
      </c>
    </row>
    <row r="2" spans="1:16" x14ac:dyDescent="0.25">
      <c r="A2" s="43" t="s">
        <v>131</v>
      </c>
      <c r="B2" s="44" t="s">
        <v>180</v>
      </c>
      <c r="C2" s="44" t="s">
        <v>1</v>
      </c>
      <c r="D2" s="44" t="s">
        <v>2</v>
      </c>
      <c r="E2" s="44" t="s">
        <v>3</v>
      </c>
      <c r="F2" s="44" t="s">
        <v>4</v>
      </c>
      <c r="G2" s="44" t="s">
        <v>5</v>
      </c>
      <c r="H2" s="44" t="s">
        <v>6</v>
      </c>
      <c r="I2" s="44" t="s">
        <v>7</v>
      </c>
      <c r="J2" s="44" t="s">
        <v>8</v>
      </c>
      <c r="K2" s="44" t="s">
        <v>32</v>
      </c>
      <c r="L2" s="44" t="s">
        <v>33</v>
      </c>
      <c r="M2" s="44" t="s">
        <v>34</v>
      </c>
      <c r="N2" s="60" t="s">
        <v>35</v>
      </c>
      <c r="O2" s="55" t="s">
        <v>36</v>
      </c>
    </row>
    <row r="3" spans="1:16" x14ac:dyDescent="0.25">
      <c r="A3" s="45" t="s">
        <v>179</v>
      </c>
      <c r="B3" s="113">
        <v>120500040505</v>
      </c>
      <c r="C3" s="39" t="s">
        <v>185</v>
      </c>
      <c r="D3" s="39">
        <v>7.87</v>
      </c>
      <c r="E3" s="39"/>
      <c r="F3" s="39"/>
      <c r="G3" s="39"/>
      <c r="H3" s="107">
        <f>(C13-D13)/H13</f>
        <v>9.7594419870704295E-3</v>
      </c>
      <c r="I3" s="39">
        <v>21</v>
      </c>
      <c r="J3" s="39">
        <v>-7.5999999999999998E-2</v>
      </c>
      <c r="K3" s="39"/>
      <c r="L3" s="39"/>
      <c r="M3" s="39"/>
      <c r="N3" s="56">
        <v>9946.83</v>
      </c>
      <c r="O3" s="56"/>
      <c r="P3" s="22" t="s">
        <v>176</v>
      </c>
    </row>
    <row r="4" spans="1:16" ht="14.45" customHeight="1" x14ac:dyDescent="0.25">
      <c r="A4" s="45" t="s">
        <v>179</v>
      </c>
      <c r="B4" s="113">
        <v>120500040404</v>
      </c>
      <c r="C4" s="39" t="s">
        <v>182</v>
      </c>
      <c r="D4" s="39">
        <v>51.51</v>
      </c>
      <c r="E4" s="39"/>
      <c r="F4" s="39"/>
      <c r="G4" s="39"/>
      <c r="H4" s="107">
        <f>(C12-D12)/H12</f>
        <v>8.2608388880126872E-3</v>
      </c>
      <c r="I4" s="39">
        <v>21</v>
      </c>
      <c r="J4" s="39">
        <v>-0.10299999999999999</v>
      </c>
      <c r="K4" s="39"/>
      <c r="L4" s="39"/>
      <c r="M4" s="39"/>
      <c r="N4" s="108">
        <v>11138</v>
      </c>
      <c r="O4" s="56"/>
      <c r="P4" s="22" t="s">
        <v>177</v>
      </c>
    </row>
    <row r="5" spans="1:16" x14ac:dyDescent="0.25">
      <c r="A5" s="45" t="s">
        <v>179</v>
      </c>
      <c r="B5" s="113">
        <v>120500040502</v>
      </c>
      <c r="C5" s="39" t="s">
        <v>183</v>
      </c>
      <c r="D5" s="39">
        <v>44.1</v>
      </c>
      <c r="E5" s="39"/>
      <c r="F5" s="39"/>
      <c r="G5" s="39"/>
      <c r="H5" s="107">
        <f>(C10-D10)/H10</f>
        <v>5.668466232548651E-3</v>
      </c>
      <c r="I5" s="39">
        <v>21</v>
      </c>
      <c r="J5" s="39">
        <v>-0.10299999999999999</v>
      </c>
      <c r="K5" s="39"/>
      <c r="L5" s="39"/>
      <c r="M5" s="39"/>
      <c r="N5" s="108">
        <v>2964</v>
      </c>
      <c r="O5" s="56"/>
      <c r="P5" s="22" t="s">
        <v>177</v>
      </c>
    </row>
    <row r="6" spans="1:16" x14ac:dyDescent="0.25">
      <c r="A6" s="45"/>
      <c r="B6" s="113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61"/>
      <c r="O6" s="56"/>
    </row>
    <row r="7" spans="1:16" x14ac:dyDescent="0.25">
      <c r="A7" s="45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61"/>
      <c r="O7" s="56"/>
    </row>
    <row r="8" spans="1:16" thickBot="1" x14ac:dyDescent="0.35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62"/>
      <c r="O8" s="57"/>
    </row>
    <row r="9" spans="1:16" x14ac:dyDescent="0.25">
      <c r="H9" s="22" t="s">
        <v>184</v>
      </c>
    </row>
    <row r="10" spans="1:16" x14ac:dyDescent="0.25">
      <c r="B10" s="39" t="s">
        <v>183</v>
      </c>
      <c r="C10" s="22">
        <v>2867.35</v>
      </c>
      <c r="D10" s="22">
        <v>2253.79</v>
      </c>
      <c r="H10" s="22">
        <v>108240.92</v>
      </c>
    </row>
    <row r="11" spans="1:16" x14ac:dyDescent="0.25">
      <c r="B11" s="39" t="s">
        <v>181</v>
      </c>
      <c r="C11" s="22">
        <v>2531.25</v>
      </c>
      <c r="D11" s="22">
        <v>2235.56</v>
      </c>
      <c r="H11" s="22">
        <v>77748.639999999999</v>
      </c>
    </row>
    <row r="12" spans="1:16" x14ac:dyDescent="0.25">
      <c r="B12" s="39" t="s">
        <v>182</v>
      </c>
      <c r="C12" s="22">
        <v>2857.51</v>
      </c>
      <c r="D12" s="22">
        <v>2459.44</v>
      </c>
      <c r="H12" s="22">
        <v>48187.6</v>
      </c>
    </row>
    <row r="13" spans="1:16" x14ac:dyDescent="0.25">
      <c r="B13" s="114" t="s">
        <v>185</v>
      </c>
      <c r="C13" s="114">
        <v>2626.17</v>
      </c>
      <c r="D13" s="114">
        <v>2339.34</v>
      </c>
      <c r="H13" s="114">
        <v>29390</v>
      </c>
    </row>
  </sheetData>
  <sortState ref="A2:Z49">
    <sortCondition descending="1" ref="D1"/>
  </sortState>
  <mergeCells count="1">
    <mergeCell ref="K1:O1"/>
  </mergeCells>
  <phoneticPr fontId="20" type="noConversion"/>
  <pageMargins left="0.7" right="0.7" top="0.75" bottom="0.75" header="0.3" footer="0.3"/>
  <pageSetup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zoomScale="85" zoomScaleNormal="85" workbookViewId="0">
      <selection activeCell="Y5" sqref="Y5"/>
    </sheetView>
  </sheetViews>
  <sheetFormatPr defaultColWidth="9.140625" defaultRowHeight="15" x14ac:dyDescent="0.25"/>
  <cols>
    <col min="1" max="1" width="19.140625" style="1" bestFit="1" customWidth="1"/>
    <col min="2" max="2" width="22.28515625" style="22" customWidth="1"/>
    <col min="3" max="3" width="13.42578125" style="2" customWidth="1"/>
    <col min="4" max="4" width="9.42578125" style="1" customWidth="1"/>
    <col min="5" max="5" width="12" style="1" bestFit="1" customWidth="1"/>
    <col min="6" max="6" width="10" style="1" bestFit="1" customWidth="1"/>
    <col min="7" max="7" width="11.42578125" style="1" customWidth="1"/>
    <col min="8" max="11" width="9.5703125" style="1" bestFit="1" customWidth="1"/>
    <col min="12" max="14" width="10.5703125" style="1" bestFit="1" customWidth="1"/>
    <col min="15" max="15" width="0" style="1" hidden="1" customWidth="1"/>
    <col min="16" max="16" width="13.42578125" style="22" customWidth="1"/>
    <col min="17" max="17" width="12.5703125" style="22" customWidth="1"/>
    <col min="18" max="18" width="13.7109375" style="1" customWidth="1"/>
    <col min="19" max="19" width="13" style="1" customWidth="1"/>
    <col min="20" max="20" width="19.7109375" style="1" customWidth="1"/>
    <col min="21" max="22" width="12.28515625" style="1" customWidth="1"/>
    <col min="23" max="23" width="15.7109375" style="1" customWidth="1"/>
    <col min="24" max="24" width="12.85546875" style="1" customWidth="1"/>
    <col min="25" max="25" width="14" style="1" bestFit="1" customWidth="1"/>
    <col min="26" max="16384" width="9.140625" style="1"/>
  </cols>
  <sheetData>
    <row r="1" spans="1:25" s="22" customFormat="1" ht="15.75" thickBot="1" x14ac:dyDescent="0.3">
      <c r="H1" s="117" t="s">
        <v>135</v>
      </c>
      <c r="I1" s="117"/>
      <c r="J1" s="117"/>
      <c r="K1" s="117"/>
      <c r="L1" s="117"/>
      <c r="M1" s="117"/>
      <c r="N1" s="117"/>
      <c r="U1" s="118" t="s">
        <v>172</v>
      </c>
      <c r="V1" s="119"/>
    </row>
    <row r="2" spans="1:25" ht="45" x14ac:dyDescent="0.25">
      <c r="A2" s="92" t="s">
        <v>0</v>
      </c>
      <c r="B2" s="109" t="s">
        <v>178</v>
      </c>
      <c r="C2" s="93" t="s">
        <v>38</v>
      </c>
      <c r="D2" s="93" t="s">
        <v>7</v>
      </c>
      <c r="E2" s="93" t="s">
        <v>6</v>
      </c>
      <c r="F2" s="93" t="s">
        <v>8</v>
      </c>
      <c r="G2" s="93" t="s">
        <v>2</v>
      </c>
      <c r="H2" s="93" t="s">
        <v>24</v>
      </c>
      <c r="I2" s="93" t="s">
        <v>25</v>
      </c>
      <c r="J2" s="93" t="s">
        <v>26</v>
      </c>
      <c r="K2" s="93" t="s">
        <v>27</v>
      </c>
      <c r="L2" s="93" t="s">
        <v>28</v>
      </c>
      <c r="M2" s="94" t="s">
        <v>29</v>
      </c>
      <c r="N2" s="93" t="s">
        <v>30</v>
      </c>
      <c r="O2" s="93" t="s">
        <v>31</v>
      </c>
      <c r="P2" s="98" t="s">
        <v>166</v>
      </c>
      <c r="Q2" s="98" t="s">
        <v>167</v>
      </c>
      <c r="R2" s="82" t="s">
        <v>104</v>
      </c>
      <c r="S2" s="95" t="s">
        <v>105</v>
      </c>
      <c r="T2" s="102" t="s">
        <v>164</v>
      </c>
      <c r="U2" s="105" t="s">
        <v>173</v>
      </c>
      <c r="V2" s="106" t="s">
        <v>174</v>
      </c>
      <c r="X2" s="22"/>
    </row>
    <row r="3" spans="1:25" x14ac:dyDescent="0.25">
      <c r="A3" s="113">
        <v>120500040505</v>
      </c>
      <c r="B3" s="110"/>
      <c r="C3" s="45" t="s">
        <v>179</v>
      </c>
      <c r="D3" s="39">
        <f>VLOOKUP(A3,'Calibration Points_Basins'!$B$3:$Q$8,8,FALSE)</f>
        <v>21</v>
      </c>
      <c r="E3" s="39">
        <f>VLOOKUP(A3,'Calibration Points_Basins'!$B$3:$Q$8,7,FALSE)</f>
        <v>9.7594419870704295E-3</v>
      </c>
      <c r="F3" s="39">
        <f>VLOOKUP(A3,'Calibration Points_Basins'!$B$3:$Q$8,9,FALSE)</f>
        <v>-7.5999999999999998E-2</v>
      </c>
      <c r="G3" s="39">
        <f>VLOOKUP(A3,'Calibration Points_Basins'!$B$3:$Q$8,3,FALSE)</f>
        <v>7.87</v>
      </c>
      <c r="H3" s="40">
        <f t="shared" ref="H3:H7" si="0">($D3^1.398) * ($E3^0.27) * (10^((0.776 *$F3) + 50.98 - (50.3*($G3^-0.0058))))</f>
        <v>334.90470677357837</v>
      </c>
      <c r="I3" s="40">
        <f t="shared" ref="I3:I7" si="1" xml:space="preserve"> ($D3^ 1.308) * ($E3^0.372) * (10^((0.885 * $F3) + 16.62 - (15.32*($G3^-0.0215))))</f>
        <v>756.74374069414364</v>
      </c>
      <c r="J3" s="40">
        <f t="shared" ref="J3:J7" si="2" xml:space="preserve"> ($D3^ 1.203) * ($E3^0.403) * (10^((0.918 * $F3) + 13.62 - (11.97*($G3^-0.0289))))</f>
        <v>1130.8914152772593</v>
      </c>
      <c r="K3" s="40">
        <f t="shared" ref="K3:K7" si="3">($D3^ 1.14) * ($E3^0.446) * (10^((0.945 *$F3) + 11.79 - (9.819*($G3^-0.0374))))</f>
        <v>1733.4876768975146</v>
      </c>
      <c r="L3" s="40">
        <f t="shared" ref="L3:L7" si="4" xml:space="preserve"> ($D3^ 1.105) * ($E3^0.476) * (10^((0.961 * $F3) + 11.17 - (8.997*($G3^-0.0424))))</f>
        <v>2277.9506546980247</v>
      </c>
      <c r="M3" s="63">
        <f t="shared" ref="M3:M7" si="5" xml:space="preserve"> ($D3^ 1.071) * ($E3^0.507) * (10^((0.969 * $F3) + 10.82 - (8.448*($G3^-0.0467))))</f>
        <v>2958.2385713594417</v>
      </c>
      <c r="N3" s="40">
        <f t="shared" ref="N3:N7" si="6" xml:space="preserve"> ($D3^ 0.988) * ($E3^0.569) * (10^((0.976 * $F3) + 10.4 - (7.605*($G3^-0.0554))))</f>
        <v>5064.4052300493604</v>
      </c>
      <c r="O3" s="41">
        <f>M3/G3</f>
        <v>375.88800144338524</v>
      </c>
      <c r="P3" s="96">
        <f>10^(LOG10(M3)-0.3)</f>
        <v>1482.6314059891342</v>
      </c>
      <c r="Q3" s="96">
        <f>10^(LOG10(M3)+0.3)</f>
        <v>5902.4619401208693</v>
      </c>
      <c r="R3" s="42">
        <f>M3-P3</f>
        <v>1475.6071653703075</v>
      </c>
      <c r="S3" s="46">
        <f>Q3-M3</f>
        <v>2944.2233687614275</v>
      </c>
      <c r="T3" s="56">
        <v>9097.51</v>
      </c>
      <c r="U3" s="103">
        <f>10^((LOG(M3,10)+0.48))</f>
        <v>8933.7376629365463</v>
      </c>
      <c r="V3" s="104">
        <f>10^((LOG(N3,10)-0.48))</f>
        <v>1676.9821834685454</v>
      </c>
      <c r="W3" s="37"/>
      <c r="X3" s="37"/>
      <c r="Y3" s="101"/>
    </row>
    <row r="4" spans="1:25" x14ac:dyDescent="0.25">
      <c r="A4" s="113">
        <v>120500040404</v>
      </c>
      <c r="B4" s="110"/>
      <c r="C4" s="45" t="s">
        <v>179</v>
      </c>
      <c r="D4" s="39">
        <f>VLOOKUP(A4,'Calibration Points_Basins'!$B$3:$Q$8,8,FALSE)</f>
        <v>21</v>
      </c>
      <c r="E4" s="39">
        <f>VLOOKUP(A4,'Calibration Points_Basins'!$B$3:$Q$8,7,FALSE)</f>
        <v>8.2608388880126872E-3</v>
      </c>
      <c r="F4" s="39">
        <f>VLOOKUP(A4,'Calibration Points_Basins'!$B$3:$Q$8,9,FALSE)</f>
        <v>-0.10299999999999999</v>
      </c>
      <c r="G4" s="39">
        <f>VLOOKUP(A4,'Calibration Points_Basins'!$B$3:$Q$8,3,FALSE)</f>
        <v>51.51</v>
      </c>
      <c r="H4" s="40">
        <f t="shared" si="0"/>
        <v>1054.5299075809953</v>
      </c>
      <c r="I4" s="40">
        <f t="shared" si="1"/>
        <v>2560.2873579549796</v>
      </c>
      <c r="J4" s="40">
        <f t="shared" si="2"/>
        <v>3939.3610275814985</v>
      </c>
      <c r="K4" s="40">
        <f t="shared" si="3"/>
        <v>6278.9088265692944</v>
      </c>
      <c r="L4" s="40">
        <f t="shared" si="4"/>
        <v>8478.4111938647129</v>
      </c>
      <c r="M4" s="63">
        <f t="shared" si="5"/>
        <v>11287.460940411074</v>
      </c>
      <c r="N4" s="40">
        <f t="shared" si="6"/>
        <v>20301.424780623573</v>
      </c>
      <c r="O4" s="41">
        <f t="shared" ref="O4:O7" si="7">M4/G4</f>
        <v>219.13144904700204</v>
      </c>
      <c r="P4" s="96">
        <f t="shared" ref="P4:P7" si="8">10^(LOG10(M4)-0.3)</f>
        <v>5657.1313234005256</v>
      </c>
      <c r="Q4" s="96">
        <f t="shared" ref="Q4:Q7" si="9">10^(LOG10(M4)+0.3)</f>
        <v>22521.445446085436</v>
      </c>
      <c r="R4" s="42">
        <f t="shared" ref="R4:R7" si="10">M4-P4</f>
        <v>5630.3296170105486</v>
      </c>
      <c r="S4" s="46">
        <f t="shared" ref="S4:S7" si="11">Q4-M4</f>
        <v>11233.984505674362</v>
      </c>
      <c r="T4" s="108">
        <v>11202.2</v>
      </c>
      <c r="U4" s="103">
        <f t="shared" ref="U4:U5" si="12">10^((LOG(M4,10)+0.48))</f>
        <v>34087.587085965031</v>
      </c>
      <c r="V4" s="104">
        <f t="shared" ref="V4:V5" si="13">10^((LOG(N4,10)-0.48))</f>
        <v>6722.4335553023448</v>
      </c>
      <c r="W4" s="37"/>
      <c r="X4" s="37"/>
    </row>
    <row r="5" spans="1:25" x14ac:dyDescent="0.25">
      <c r="A5" s="113">
        <v>120500040502</v>
      </c>
      <c r="B5" s="110"/>
      <c r="C5" s="45" t="s">
        <v>179</v>
      </c>
      <c r="D5" s="39">
        <f>VLOOKUP(A5,'Calibration Points_Basins'!$B$3:$Q$8,8,FALSE)</f>
        <v>21</v>
      </c>
      <c r="E5" s="39">
        <f>VLOOKUP(A5,'Calibration Points_Basins'!$B$3:$Q$8,7,FALSE)</f>
        <v>5.668466232548651E-3</v>
      </c>
      <c r="F5" s="39">
        <f>VLOOKUP(A5,'Calibration Points_Basins'!$B$3:$Q$8,9,FALSE)</f>
        <v>-0.10299999999999999</v>
      </c>
      <c r="G5" s="39">
        <f>VLOOKUP(A5,'Calibration Points_Basins'!$B$3:$Q$8,3,FALSE)</f>
        <v>44.1</v>
      </c>
      <c r="H5" s="40">
        <f t="shared" si="0"/>
        <v>860.18203670531568</v>
      </c>
      <c r="I5" s="40">
        <f t="shared" si="1"/>
        <v>1996.9409750970042</v>
      </c>
      <c r="J5" s="40">
        <f t="shared" si="2"/>
        <v>3030.1199823279539</v>
      </c>
      <c r="K5" s="40">
        <f t="shared" si="3"/>
        <v>4737.781635901656</v>
      </c>
      <c r="L5" s="40">
        <f t="shared" si="4"/>
        <v>6311.976156415586</v>
      </c>
      <c r="M5" s="63">
        <f t="shared" si="5"/>
        <v>8289.2171579404294</v>
      </c>
      <c r="N5" s="40">
        <f t="shared" si="6"/>
        <v>14508.903506362805</v>
      </c>
      <c r="O5" s="41">
        <f t="shared" si="7"/>
        <v>187.96410788980566</v>
      </c>
      <c r="P5" s="96">
        <f t="shared" si="8"/>
        <v>4154.4498163238868</v>
      </c>
      <c r="Q5" s="96">
        <f t="shared" si="9"/>
        <v>16539.162615832014</v>
      </c>
      <c r="R5" s="42">
        <f t="shared" si="10"/>
        <v>4134.7673416165426</v>
      </c>
      <c r="S5" s="46">
        <f t="shared" si="11"/>
        <v>8249.9454578915847</v>
      </c>
      <c r="T5" s="108">
        <v>24717.13</v>
      </c>
      <c r="U5" s="103">
        <f t="shared" si="12"/>
        <v>25033.035616908077</v>
      </c>
      <c r="V5" s="104">
        <f t="shared" si="13"/>
        <v>4804.3494895446211</v>
      </c>
      <c r="W5" s="37"/>
      <c r="X5" s="37"/>
    </row>
    <row r="6" spans="1:25" hidden="1" x14ac:dyDescent="0.25">
      <c r="A6" s="85" t="s">
        <v>132</v>
      </c>
      <c r="B6" s="111"/>
      <c r="C6" s="86" t="s">
        <v>134</v>
      </c>
      <c r="D6" s="86" t="e">
        <f>VLOOKUP(A6,'Calibration Points_Basins'!$B$3:$Q$8,8,FALSE)</f>
        <v>#N/A</v>
      </c>
      <c r="E6" s="86" t="e">
        <f>VLOOKUP(A6,'Calibration Points_Basins'!$B$3:$Q$8,7,FALSE)</f>
        <v>#N/A</v>
      </c>
      <c r="F6" s="86" t="e">
        <f>VLOOKUP(A6,'Calibration Points_Basins'!$B$3:$Q$8,9,FALSE)</f>
        <v>#N/A</v>
      </c>
      <c r="G6" s="86" t="e">
        <f>VLOOKUP(A6,'Calibration Points_Basins'!$B$3:$Q$8,3,FALSE)</f>
        <v>#N/A</v>
      </c>
      <c r="H6" s="87" t="e">
        <f t="shared" si="0"/>
        <v>#N/A</v>
      </c>
      <c r="I6" s="87" t="e">
        <f t="shared" si="1"/>
        <v>#N/A</v>
      </c>
      <c r="J6" s="87" t="e">
        <f t="shared" si="2"/>
        <v>#N/A</v>
      </c>
      <c r="K6" s="87" t="e">
        <f t="shared" si="3"/>
        <v>#N/A</v>
      </c>
      <c r="L6" s="87" t="e">
        <f t="shared" si="4"/>
        <v>#N/A</v>
      </c>
      <c r="M6" s="88" t="e">
        <f t="shared" si="5"/>
        <v>#N/A</v>
      </c>
      <c r="N6" s="87" t="e">
        <f t="shared" si="6"/>
        <v>#N/A</v>
      </c>
      <c r="O6" s="89" t="e">
        <f t="shared" si="7"/>
        <v>#N/A</v>
      </c>
      <c r="P6" s="87" t="e">
        <f t="shared" si="8"/>
        <v>#N/A</v>
      </c>
      <c r="Q6" s="87" t="e">
        <f t="shared" si="9"/>
        <v>#N/A</v>
      </c>
      <c r="R6" s="90" t="e">
        <f t="shared" si="10"/>
        <v>#N/A</v>
      </c>
      <c r="S6" s="91" t="e">
        <f t="shared" si="11"/>
        <v>#N/A</v>
      </c>
    </row>
    <row r="7" spans="1:25" ht="15.75" hidden="1" thickBot="1" x14ac:dyDescent="0.3">
      <c r="A7" s="47" t="s">
        <v>133</v>
      </c>
      <c r="B7" s="112"/>
      <c r="C7" s="48" t="s">
        <v>134</v>
      </c>
      <c r="D7" s="48" t="e">
        <f>VLOOKUP(A7,'Calibration Points_Basins'!$B$3:$Q$8,8,FALSE)</f>
        <v>#N/A</v>
      </c>
      <c r="E7" s="48" t="e">
        <f>VLOOKUP(A7,'Calibration Points_Basins'!$B$3:$Q$8,7,FALSE)</f>
        <v>#N/A</v>
      </c>
      <c r="F7" s="48" t="e">
        <f>VLOOKUP(A7,'Calibration Points_Basins'!$B$3:$Q$8,9,FALSE)</f>
        <v>#N/A</v>
      </c>
      <c r="G7" s="48" t="e">
        <f>VLOOKUP(A7,'Calibration Points_Basins'!$B$3:$Q$8,3,FALSE)</f>
        <v>#N/A</v>
      </c>
      <c r="H7" s="49" t="e">
        <f t="shared" si="0"/>
        <v>#N/A</v>
      </c>
      <c r="I7" s="49" t="e">
        <f t="shared" si="1"/>
        <v>#N/A</v>
      </c>
      <c r="J7" s="49" t="e">
        <f t="shared" si="2"/>
        <v>#N/A</v>
      </c>
      <c r="K7" s="49" t="e">
        <f t="shared" si="3"/>
        <v>#N/A</v>
      </c>
      <c r="L7" s="49" t="e">
        <f t="shared" si="4"/>
        <v>#N/A</v>
      </c>
      <c r="M7" s="64" t="e">
        <f t="shared" si="5"/>
        <v>#N/A</v>
      </c>
      <c r="N7" s="49" t="e">
        <f t="shared" si="6"/>
        <v>#N/A</v>
      </c>
      <c r="O7" s="50" t="e">
        <f t="shared" si="7"/>
        <v>#N/A</v>
      </c>
      <c r="P7" s="49" t="e">
        <f t="shared" si="8"/>
        <v>#N/A</v>
      </c>
      <c r="Q7" s="49" t="e">
        <f t="shared" si="9"/>
        <v>#N/A</v>
      </c>
      <c r="R7" s="51" t="e">
        <f t="shared" si="10"/>
        <v>#N/A</v>
      </c>
      <c r="S7" s="52" t="e">
        <f t="shared" si="11"/>
        <v>#N/A</v>
      </c>
    </row>
    <row r="8" spans="1:25" x14ac:dyDescent="0.25">
      <c r="A8" s="3"/>
      <c r="B8" s="4"/>
      <c r="C8" s="4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6"/>
      <c r="P8" s="5"/>
      <c r="Q8" s="5"/>
      <c r="R8" s="37"/>
      <c r="S8" s="37"/>
    </row>
    <row r="9" spans="1:25" x14ac:dyDescent="0.25">
      <c r="A9" s="4"/>
      <c r="B9" s="4"/>
      <c r="C9" s="4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3"/>
      <c r="P9" s="5"/>
      <c r="Q9" s="5"/>
      <c r="R9" s="54"/>
      <c r="S9" s="56">
        <v>41583.949999999997</v>
      </c>
    </row>
    <row r="10" spans="1:25" s="2" customFormat="1" x14ac:dyDescent="0.25">
      <c r="A10" s="4"/>
      <c r="B10" s="4"/>
      <c r="C10" s="4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  <c r="O10" s="53"/>
      <c r="P10" s="5"/>
      <c r="Q10" s="5"/>
      <c r="R10" s="54">
        <f>LOG(Q3)</f>
        <v>3.7710331953697769</v>
      </c>
      <c r="S10" s="108">
        <v>11202.2</v>
      </c>
    </row>
    <row r="11" spans="1:25" s="2" customFormat="1" x14ac:dyDescent="0.25">
      <c r="A11" s="4"/>
      <c r="B11" s="4"/>
      <c r="C11" s="4"/>
      <c r="D11" s="4"/>
      <c r="E11" s="4"/>
      <c r="F11" s="4"/>
      <c r="G11" s="4"/>
      <c r="H11" s="5"/>
      <c r="I11" s="5"/>
      <c r="J11" s="5"/>
      <c r="K11" s="5"/>
      <c r="L11" s="5"/>
      <c r="M11" s="5"/>
      <c r="N11" s="5"/>
      <c r="O11" s="53"/>
      <c r="P11" s="5"/>
      <c r="Q11" s="5"/>
      <c r="R11" s="97">
        <f>LOG(M3)</f>
        <v>3.4710331953697771</v>
      </c>
      <c r="S11" s="108">
        <v>3003.79</v>
      </c>
    </row>
    <row r="12" spans="1:25" s="2" customFormat="1" x14ac:dyDescent="0.25">
      <c r="A12" s="4"/>
      <c r="B12" s="4"/>
      <c r="C12" s="4"/>
      <c r="D12" s="4"/>
      <c r="E12" s="4"/>
      <c r="F12" s="4"/>
      <c r="G12" s="4"/>
      <c r="H12" s="5"/>
      <c r="I12" s="5"/>
      <c r="J12" s="5"/>
      <c r="K12" s="5"/>
      <c r="L12" s="5"/>
      <c r="M12" s="5"/>
      <c r="N12" s="5"/>
      <c r="O12" s="53"/>
      <c r="P12" s="5"/>
      <c r="Q12" s="5"/>
      <c r="R12" s="97">
        <f>0.3*R11</f>
        <v>1.0413099586109331</v>
      </c>
      <c r="S12" s="54"/>
    </row>
    <row r="13" spans="1:25" x14ac:dyDescent="0.25">
      <c r="A13" s="4"/>
      <c r="B13" s="4"/>
      <c r="C13" s="4"/>
      <c r="D13" s="4"/>
      <c r="E13" s="4"/>
      <c r="F13" s="4"/>
      <c r="G13" s="4"/>
      <c r="H13" s="5"/>
      <c r="I13" s="5"/>
      <c r="J13" s="5"/>
      <c r="K13" s="5"/>
      <c r="L13" s="5"/>
      <c r="M13" s="5"/>
      <c r="N13" s="5"/>
      <c r="O13" s="53"/>
      <c r="P13" s="5"/>
      <c r="Q13" s="5"/>
      <c r="R13" s="54">
        <f>R12+R11</f>
        <v>4.5123431539807104</v>
      </c>
      <c r="S13" s="54"/>
      <c r="T13" s="99">
        <f>Q3/M3</f>
        <v>1.9952623149688791</v>
      </c>
      <c r="U13" s="1" t="s">
        <v>171</v>
      </c>
      <c r="V13" s="101">
        <f>T13*M3</f>
        <v>5902.4619401208693</v>
      </c>
    </row>
    <row r="14" spans="1:25" x14ac:dyDescent="0.25">
      <c r="A14" s="4"/>
      <c r="B14" s="4"/>
      <c r="C14" s="4"/>
      <c r="D14" s="4"/>
      <c r="E14" s="4"/>
      <c r="F14" s="4"/>
      <c r="G14" s="4"/>
      <c r="H14" s="5"/>
      <c r="I14" s="5"/>
      <c r="J14" s="5"/>
      <c r="K14" s="5"/>
      <c r="L14" s="5"/>
      <c r="M14" s="5"/>
      <c r="N14" s="5"/>
      <c r="O14" s="53"/>
      <c r="P14" s="5"/>
      <c r="Q14" s="5"/>
      <c r="R14" s="54">
        <f>10^R13</f>
        <v>32534.426377239019</v>
      </c>
      <c r="S14" s="54"/>
      <c r="T14" s="99">
        <f>P3/M3</f>
        <v>0.5011872336272728</v>
      </c>
      <c r="U14" s="1" t="s">
        <v>170</v>
      </c>
      <c r="V14" s="101">
        <f>T14*M3</f>
        <v>1482.6314059891342</v>
      </c>
    </row>
    <row r="15" spans="1:25" x14ac:dyDescent="0.25">
      <c r="A15" s="4"/>
      <c r="B15" s="4"/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3"/>
      <c r="P15" s="5"/>
      <c r="Q15" s="5"/>
      <c r="R15" s="54" t="s">
        <v>168</v>
      </c>
      <c r="S15" s="100">
        <f>10^((1-0.3)*(LOG($M$3)))</f>
        <v>268.98201135032338</v>
      </c>
    </row>
    <row r="16" spans="1:25" x14ac:dyDescent="0.25">
      <c r="A16" s="4"/>
      <c r="B16" s="4"/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  <c r="N16" s="5"/>
      <c r="O16" s="53"/>
      <c r="P16" s="5"/>
      <c r="Q16" s="5"/>
      <c r="R16" s="54" t="s">
        <v>169</v>
      </c>
      <c r="S16" s="100">
        <f>10^((1+0.3)*(LOG($M$3)))</f>
        <v>32534.426377239019</v>
      </c>
    </row>
    <row r="17" spans="1:19" x14ac:dyDescent="0.25">
      <c r="A17" s="4"/>
      <c r="B17" s="4"/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  <c r="N17" s="5"/>
      <c r="O17" s="53"/>
      <c r="P17" s="5"/>
      <c r="Q17" s="5"/>
      <c r="R17" s="54"/>
      <c r="S17" s="54"/>
    </row>
    <row r="18" spans="1:19" x14ac:dyDescent="0.25">
      <c r="A18" s="4"/>
      <c r="B18" s="4"/>
      <c r="C18" s="4"/>
      <c r="D18" s="4"/>
      <c r="E18" s="4"/>
      <c r="F18" s="4"/>
      <c r="G18" s="4"/>
      <c r="H18" s="5"/>
      <c r="I18" s="5"/>
      <c r="J18" s="5"/>
      <c r="K18" s="5"/>
      <c r="L18" s="5"/>
      <c r="M18" s="5"/>
      <c r="N18" s="5"/>
      <c r="O18" s="53"/>
      <c r="P18" s="5"/>
      <c r="Q18" s="5"/>
      <c r="R18" s="54"/>
      <c r="S18" s="54"/>
    </row>
    <row r="19" spans="1:19" x14ac:dyDescent="0.25">
      <c r="A19" s="4"/>
      <c r="B19" s="4"/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  <c r="N19" s="5"/>
      <c r="O19" s="53"/>
      <c r="P19" s="5"/>
      <c r="Q19" s="5"/>
      <c r="R19" s="54"/>
      <c r="S19" s="54"/>
    </row>
    <row r="20" spans="1:19" x14ac:dyDescent="0.25">
      <c r="A20" s="4"/>
      <c r="B20" s="4"/>
      <c r="C20" s="4"/>
      <c r="D20" s="4"/>
      <c r="E20" s="4"/>
      <c r="F20" s="4"/>
      <c r="G20" s="4"/>
      <c r="H20" s="5"/>
      <c r="I20" s="5"/>
      <c r="J20" s="5"/>
      <c r="K20" s="5"/>
      <c r="L20" s="5"/>
      <c r="M20" s="5"/>
      <c r="N20" s="5"/>
      <c r="O20" s="53"/>
      <c r="P20" s="5"/>
      <c r="Q20" s="5"/>
      <c r="R20" s="54"/>
      <c r="S20" s="54"/>
    </row>
    <row r="21" spans="1:19" x14ac:dyDescent="0.25">
      <c r="A21" s="4"/>
      <c r="B21" s="4"/>
      <c r="C21" s="4"/>
      <c r="D21" s="4"/>
      <c r="E21" s="4"/>
      <c r="F21" s="4"/>
      <c r="G21" s="4"/>
      <c r="H21" s="5"/>
      <c r="I21" s="5"/>
      <c r="J21" s="5"/>
      <c r="K21" s="5"/>
      <c r="L21" s="5"/>
      <c r="M21" s="5"/>
      <c r="N21" s="5"/>
      <c r="O21" s="53"/>
      <c r="P21" s="5"/>
      <c r="Q21" s="5"/>
      <c r="R21" s="54"/>
      <c r="S21" s="54"/>
    </row>
    <row r="22" spans="1:19" x14ac:dyDescent="0.25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5"/>
      <c r="N22" s="5"/>
      <c r="O22" s="53"/>
      <c r="P22" s="5"/>
      <c r="Q22" s="5"/>
      <c r="R22" s="54"/>
      <c r="S22" s="54"/>
    </row>
    <row r="23" spans="1:19" x14ac:dyDescent="0.2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5"/>
      <c r="N23" s="5"/>
      <c r="O23" s="53"/>
      <c r="P23" s="5"/>
      <c r="Q23" s="5"/>
      <c r="R23" s="54"/>
      <c r="S23" s="54"/>
    </row>
    <row r="24" spans="1:19" x14ac:dyDescent="0.25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5"/>
      <c r="N24" s="5"/>
      <c r="O24" s="53"/>
      <c r="P24" s="5"/>
      <c r="Q24" s="5"/>
      <c r="R24" s="54"/>
      <c r="S24" s="54"/>
    </row>
    <row r="25" spans="1:19" x14ac:dyDescent="0.25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5"/>
      <c r="N25" s="5"/>
      <c r="O25" s="53"/>
      <c r="P25" s="5"/>
      <c r="Q25" s="5"/>
      <c r="R25" s="54"/>
      <c r="S25" s="54"/>
    </row>
    <row r="26" spans="1:19" x14ac:dyDescent="0.25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5"/>
      <c r="N26" s="5"/>
      <c r="O26" s="53"/>
      <c r="P26" s="5"/>
      <c r="Q26" s="5"/>
      <c r="R26" s="54"/>
      <c r="S26" s="54"/>
    </row>
    <row r="27" spans="1:19" x14ac:dyDescent="0.25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5"/>
      <c r="N27" s="5"/>
      <c r="O27" s="53"/>
      <c r="P27" s="5"/>
      <c r="Q27" s="5"/>
      <c r="R27" s="54"/>
      <c r="S27" s="54"/>
    </row>
    <row r="28" spans="1:19" x14ac:dyDescent="0.2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5"/>
      <c r="N28" s="5"/>
      <c r="O28" s="53"/>
      <c r="P28" s="5"/>
      <c r="Q28" s="5"/>
      <c r="R28" s="54"/>
      <c r="S28" s="54"/>
    </row>
    <row r="29" spans="1:19" x14ac:dyDescent="0.25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5"/>
      <c r="N29" s="5"/>
      <c r="O29" s="53"/>
      <c r="P29" s="5"/>
      <c r="Q29" s="5"/>
      <c r="R29" s="54"/>
      <c r="S29" s="54"/>
    </row>
    <row r="30" spans="1:19" x14ac:dyDescent="0.25">
      <c r="A30" s="4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5"/>
      <c r="N30" s="5"/>
      <c r="O30" s="53"/>
      <c r="P30" s="5"/>
      <c r="Q30" s="5"/>
      <c r="R30" s="54"/>
      <c r="S30" s="54"/>
    </row>
    <row r="31" spans="1:19" x14ac:dyDescent="0.25">
      <c r="A31" s="4"/>
      <c r="B31" s="4"/>
      <c r="C31" s="4"/>
      <c r="D31" s="4"/>
      <c r="E31" s="4"/>
      <c r="F31" s="4"/>
      <c r="G31" s="4"/>
      <c r="H31" s="5"/>
      <c r="I31" s="5"/>
      <c r="J31" s="5"/>
      <c r="K31" s="5"/>
      <c r="L31" s="5"/>
      <c r="M31" s="5"/>
      <c r="N31" s="5"/>
      <c r="O31" s="53"/>
      <c r="P31" s="5"/>
      <c r="Q31" s="5"/>
      <c r="R31" s="54"/>
      <c r="S31" s="54"/>
    </row>
    <row r="32" spans="1:19" x14ac:dyDescent="0.25">
      <c r="A32" s="4"/>
      <c r="B32" s="4"/>
      <c r="C32" s="4"/>
      <c r="D32" s="4"/>
      <c r="E32" s="4"/>
      <c r="F32" s="4"/>
      <c r="G32" s="4"/>
      <c r="H32" s="5"/>
      <c r="I32" s="5"/>
      <c r="J32" s="5"/>
      <c r="K32" s="5"/>
      <c r="L32" s="5"/>
      <c r="M32" s="5"/>
      <c r="N32" s="5"/>
      <c r="O32" s="53"/>
      <c r="P32" s="5"/>
      <c r="Q32" s="5"/>
      <c r="R32" s="54"/>
      <c r="S32" s="54"/>
    </row>
    <row r="33" spans="1:19" x14ac:dyDescent="0.25">
      <c r="A33" s="4"/>
      <c r="B33" s="4"/>
      <c r="C33" s="4"/>
      <c r="D33" s="4"/>
      <c r="E33" s="4"/>
      <c r="F33" s="4"/>
      <c r="G33" s="4"/>
      <c r="H33" s="5"/>
      <c r="I33" s="5"/>
      <c r="J33" s="5"/>
      <c r="K33" s="5"/>
      <c r="L33" s="5"/>
      <c r="M33" s="5"/>
      <c r="N33" s="5"/>
      <c r="O33" s="53"/>
      <c r="P33" s="5"/>
      <c r="Q33" s="5"/>
      <c r="R33" s="54"/>
      <c r="S33" s="54"/>
    </row>
    <row r="34" spans="1:19" x14ac:dyDescent="0.25">
      <c r="A34" s="4"/>
      <c r="B34" s="4"/>
      <c r="C34" s="4"/>
      <c r="D34" s="4"/>
      <c r="E34" s="4"/>
      <c r="F34" s="4"/>
      <c r="G34" s="4"/>
      <c r="H34" s="5"/>
      <c r="I34" s="5"/>
      <c r="J34" s="5"/>
      <c r="K34" s="5"/>
      <c r="L34" s="5"/>
      <c r="M34" s="5"/>
      <c r="N34" s="5"/>
      <c r="O34" s="53"/>
      <c r="P34" s="5"/>
      <c r="Q34" s="5"/>
      <c r="R34" s="54"/>
      <c r="S34" s="54"/>
    </row>
    <row r="35" spans="1:19" x14ac:dyDescent="0.25">
      <c r="A35" s="4"/>
      <c r="B35" s="4"/>
      <c r="C35" s="4"/>
      <c r="D35" s="4"/>
      <c r="E35" s="4"/>
      <c r="F35" s="4"/>
      <c r="G35" s="4"/>
      <c r="H35" s="5"/>
      <c r="I35" s="5"/>
      <c r="J35" s="5"/>
      <c r="K35" s="5"/>
      <c r="L35" s="5"/>
      <c r="M35" s="5"/>
      <c r="N35" s="5"/>
      <c r="O35" s="53"/>
      <c r="P35" s="5"/>
      <c r="Q35" s="5"/>
      <c r="R35" s="54"/>
      <c r="S35" s="54"/>
    </row>
    <row r="36" spans="1:19" x14ac:dyDescent="0.25">
      <c r="A36" s="4"/>
      <c r="B36" s="4"/>
      <c r="C36" s="4"/>
      <c r="D36" s="4"/>
      <c r="E36" s="4"/>
      <c r="F36" s="4"/>
      <c r="G36" s="4"/>
      <c r="H36" s="5"/>
      <c r="I36" s="5"/>
      <c r="J36" s="5"/>
      <c r="K36" s="5"/>
      <c r="L36" s="5"/>
      <c r="M36" s="5"/>
      <c r="N36" s="5"/>
      <c r="O36" s="53"/>
      <c r="P36" s="5"/>
      <c r="Q36" s="5"/>
      <c r="R36" s="54"/>
      <c r="S36" s="54"/>
    </row>
    <row r="37" spans="1:19" x14ac:dyDescent="0.25">
      <c r="A37" s="4"/>
      <c r="B37" s="4"/>
      <c r="C37" s="4"/>
      <c r="D37" s="4"/>
      <c r="E37" s="4"/>
      <c r="F37" s="4"/>
      <c r="G37" s="4"/>
      <c r="H37" s="5"/>
      <c r="I37" s="5"/>
      <c r="J37" s="5"/>
      <c r="K37" s="5"/>
      <c r="L37" s="5"/>
      <c r="M37" s="5"/>
      <c r="N37" s="5"/>
      <c r="O37" s="53"/>
      <c r="P37" s="5"/>
      <c r="Q37" s="5"/>
      <c r="R37" s="54"/>
      <c r="S37" s="54"/>
    </row>
    <row r="38" spans="1:19" x14ac:dyDescent="0.25">
      <c r="A38" s="4"/>
      <c r="B38" s="4"/>
      <c r="C38" s="4"/>
      <c r="D38" s="4"/>
      <c r="E38" s="4"/>
      <c r="F38" s="4"/>
      <c r="G38" s="4"/>
      <c r="H38" s="5"/>
      <c r="I38" s="5"/>
      <c r="J38" s="5"/>
      <c r="K38" s="5"/>
      <c r="L38" s="5"/>
      <c r="M38" s="5"/>
      <c r="N38" s="5"/>
      <c r="O38" s="53"/>
      <c r="P38" s="5"/>
      <c r="Q38" s="5"/>
      <c r="R38" s="54"/>
      <c r="S38" s="54"/>
    </row>
    <row r="39" spans="1:19" x14ac:dyDescent="0.25">
      <c r="A39" s="4"/>
      <c r="B39" s="4"/>
      <c r="C39" s="4"/>
      <c r="D39" s="4"/>
      <c r="E39" s="4"/>
      <c r="F39" s="4"/>
      <c r="G39" s="4"/>
      <c r="H39" s="5"/>
      <c r="I39" s="5"/>
      <c r="J39" s="5"/>
      <c r="K39" s="5"/>
      <c r="L39" s="5"/>
      <c r="M39" s="5"/>
      <c r="N39" s="5"/>
      <c r="O39" s="53"/>
      <c r="P39" s="5"/>
      <c r="Q39" s="5"/>
      <c r="R39" s="54"/>
      <c r="S39" s="54"/>
    </row>
    <row r="40" spans="1:19" x14ac:dyDescent="0.25">
      <c r="A40" s="4"/>
      <c r="B40" s="4"/>
      <c r="C40" s="4"/>
      <c r="D40" s="4"/>
      <c r="E40" s="4"/>
      <c r="F40" s="4"/>
      <c r="G40" s="4"/>
      <c r="H40" s="5"/>
      <c r="I40" s="5"/>
      <c r="J40" s="5"/>
      <c r="K40" s="5"/>
      <c r="L40" s="5"/>
      <c r="M40" s="5"/>
      <c r="N40" s="5"/>
      <c r="O40" s="53"/>
      <c r="P40" s="5"/>
      <c r="Q40" s="5"/>
      <c r="R40" s="54"/>
      <c r="S40" s="54"/>
    </row>
    <row r="41" spans="1:19" x14ac:dyDescent="0.25">
      <c r="A41" s="4"/>
      <c r="B41" s="4"/>
      <c r="C41" s="4"/>
      <c r="D41" s="4"/>
      <c r="E41" s="4"/>
      <c r="F41" s="4"/>
      <c r="G41" s="4"/>
      <c r="H41" s="5"/>
      <c r="I41" s="5"/>
      <c r="J41" s="5"/>
      <c r="K41" s="5"/>
      <c r="L41" s="5"/>
      <c r="M41" s="5"/>
      <c r="N41" s="5"/>
      <c r="O41" s="53"/>
      <c r="P41" s="5"/>
      <c r="Q41" s="5"/>
      <c r="R41" s="54"/>
      <c r="S41" s="54"/>
    </row>
    <row r="42" spans="1:19" x14ac:dyDescent="0.25">
      <c r="A42" s="4"/>
      <c r="B42" s="4"/>
      <c r="C42" s="4"/>
      <c r="D42" s="4"/>
      <c r="E42" s="4"/>
      <c r="F42" s="4"/>
      <c r="G42" s="4"/>
      <c r="H42" s="5"/>
      <c r="I42" s="5"/>
      <c r="J42" s="5"/>
      <c r="K42" s="5"/>
      <c r="L42" s="5"/>
      <c r="M42" s="5"/>
      <c r="N42" s="5"/>
      <c r="O42" s="53"/>
      <c r="P42" s="5"/>
      <c r="Q42" s="5"/>
      <c r="R42" s="54"/>
      <c r="S42" s="54"/>
    </row>
    <row r="43" spans="1:19" x14ac:dyDescent="0.25">
      <c r="A43" s="4"/>
      <c r="B43" s="4"/>
      <c r="C43" s="4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  <c r="O43" s="53"/>
      <c r="P43" s="5"/>
      <c r="Q43" s="5"/>
      <c r="R43" s="54"/>
      <c r="S43" s="54"/>
    </row>
    <row r="44" spans="1:19" x14ac:dyDescent="0.25">
      <c r="A44" s="4"/>
      <c r="B44" s="4"/>
      <c r="C44" s="4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  <c r="O44" s="53"/>
      <c r="P44" s="5"/>
      <c r="Q44" s="5"/>
      <c r="R44" s="54"/>
      <c r="S44" s="54"/>
    </row>
    <row r="45" spans="1:19" x14ac:dyDescent="0.25">
      <c r="A45" s="4"/>
      <c r="B45" s="4"/>
      <c r="C45" s="4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3"/>
      <c r="P45" s="5"/>
      <c r="Q45" s="5"/>
      <c r="R45" s="54"/>
      <c r="S45" s="54"/>
    </row>
    <row r="46" spans="1:19" x14ac:dyDescent="0.25">
      <c r="A46" s="4"/>
      <c r="B46" s="4"/>
      <c r="C46" s="4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  <c r="O46" s="53"/>
      <c r="P46" s="5"/>
      <c r="Q46" s="5"/>
      <c r="R46" s="54"/>
      <c r="S46" s="54"/>
    </row>
    <row r="47" spans="1:19" x14ac:dyDescent="0.25">
      <c r="A47" s="4"/>
      <c r="B47" s="4"/>
      <c r="C47" s="4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  <c r="O47" s="53"/>
      <c r="P47" s="5"/>
      <c r="Q47" s="5"/>
      <c r="R47" s="54"/>
      <c r="S47" s="54"/>
    </row>
    <row r="48" spans="1:19" x14ac:dyDescent="0.25">
      <c r="A48" s="4"/>
      <c r="B48" s="4"/>
      <c r="C48" s="4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3"/>
      <c r="P48" s="5"/>
      <c r="Q48" s="5"/>
      <c r="R48" s="54"/>
      <c r="S48" s="54"/>
    </row>
    <row r="49" spans="1:19" x14ac:dyDescent="0.25">
      <c r="A49" s="4"/>
      <c r="B49" s="4"/>
      <c r="C49" s="4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  <c r="O49" s="53"/>
      <c r="P49" s="5"/>
      <c r="Q49" s="5"/>
      <c r="R49" s="54"/>
      <c r="S49" s="54"/>
    </row>
    <row r="50" spans="1:19" x14ac:dyDescent="0.25">
      <c r="A50" s="4"/>
      <c r="B50" s="4"/>
      <c r="C50" s="4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  <c r="O50" s="53"/>
      <c r="P50" s="5"/>
      <c r="Q50" s="5"/>
      <c r="R50" s="4"/>
      <c r="S50" s="4"/>
    </row>
    <row r="51" spans="1:19" x14ac:dyDescent="0.25">
      <c r="A51" s="4"/>
      <c r="B51" s="4"/>
      <c r="C51" s="4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  <c r="O51" s="53"/>
      <c r="P51" s="5"/>
      <c r="Q51" s="5"/>
      <c r="R51" s="4"/>
      <c r="S51" s="4"/>
    </row>
    <row r="52" spans="1:19" x14ac:dyDescent="0.25">
      <c r="A52" s="4"/>
      <c r="B52" s="4"/>
      <c r="C52" s="4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  <c r="O52" s="53"/>
      <c r="P52" s="5"/>
      <c r="Q52" s="5"/>
      <c r="R52" s="4"/>
      <c r="S52" s="4"/>
    </row>
    <row r="53" spans="1:19" x14ac:dyDescent="0.25">
      <c r="A53" s="4"/>
      <c r="B53" s="4"/>
      <c r="C53" s="4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  <c r="O53" s="53"/>
      <c r="P53" s="5"/>
      <c r="Q53" s="5"/>
      <c r="R53" s="4"/>
      <c r="S53" s="4"/>
    </row>
    <row r="54" spans="1:19" x14ac:dyDescent="0.25">
      <c r="A54" s="4"/>
      <c r="B54" s="4"/>
      <c r="C54" s="4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  <c r="O54" s="53"/>
      <c r="P54" s="5"/>
      <c r="Q54" s="5"/>
      <c r="R54" s="4"/>
      <c r="S54" s="4"/>
    </row>
    <row r="55" spans="1:19" x14ac:dyDescent="0.25">
      <c r="A55" s="4"/>
      <c r="B55" s="4"/>
      <c r="C55" s="4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  <c r="O55" s="53"/>
      <c r="P55" s="5"/>
      <c r="Q55" s="5"/>
      <c r="R55" s="4"/>
      <c r="S55" s="4"/>
    </row>
    <row r="56" spans="1:19" x14ac:dyDescent="0.25">
      <c r="A56" s="4"/>
      <c r="B56" s="4"/>
      <c r="C56" s="4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  <c r="O56" s="53"/>
      <c r="P56" s="5"/>
      <c r="Q56" s="5"/>
      <c r="R56" s="4"/>
      <c r="S56" s="4"/>
    </row>
    <row r="57" spans="1:19" x14ac:dyDescent="0.25">
      <c r="A57" s="4"/>
      <c r="B57" s="4"/>
      <c r="C57" s="4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  <c r="O57" s="53"/>
      <c r="P57" s="5"/>
      <c r="Q57" s="5"/>
      <c r="R57" s="4"/>
      <c r="S57" s="4"/>
    </row>
    <row r="58" spans="1:19" x14ac:dyDescent="0.25">
      <c r="A58" s="4"/>
      <c r="B58" s="4"/>
      <c r="C58" s="4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  <c r="O58" s="53"/>
      <c r="P58" s="5"/>
      <c r="Q58" s="5"/>
      <c r="R58" s="4"/>
      <c r="S58" s="4"/>
    </row>
    <row r="59" spans="1:19" x14ac:dyDescent="0.25">
      <c r="A59" s="4"/>
      <c r="B59" s="4"/>
      <c r="C59" s="4"/>
      <c r="D59" s="4"/>
      <c r="E59" s="4"/>
      <c r="F59" s="4"/>
      <c r="G59" s="4"/>
      <c r="H59" s="5"/>
      <c r="I59" s="5"/>
      <c r="J59" s="5"/>
      <c r="K59" s="5"/>
      <c r="L59" s="5"/>
      <c r="M59" s="5"/>
      <c r="N59" s="5"/>
      <c r="O59" s="53"/>
      <c r="P59" s="5"/>
      <c r="Q59" s="5"/>
      <c r="R59" s="4"/>
      <c r="S59" s="4"/>
    </row>
    <row r="60" spans="1:19" x14ac:dyDescent="0.25">
      <c r="A60" s="4"/>
      <c r="B60" s="4"/>
      <c r="C60" s="4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  <c r="O60" s="53"/>
      <c r="P60" s="5"/>
      <c r="Q60" s="5"/>
      <c r="R60" s="4"/>
      <c r="S60" s="4"/>
    </row>
    <row r="61" spans="1:19" x14ac:dyDescent="0.25">
      <c r="A61" s="4"/>
      <c r="B61" s="4"/>
      <c r="C61" s="4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  <c r="O61" s="53"/>
      <c r="P61" s="5"/>
      <c r="Q61" s="5"/>
      <c r="R61" s="4"/>
      <c r="S61" s="4"/>
    </row>
    <row r="62" spans="1:19" x14ac:dyDescent="0.25">
      <c r="A62" s="4"/>
      <c r="B62" s="4"/>
      <c r="C62" s="4"/>
      <c r="D62" s="4"/>
      <c r="E62" s="4"/>
      <c r="F62" s="4"/>
      <c r="G62" s="4"/>
      <c r="H62" s="5"/>
      <c r="I62" s="5"/>
      <c r="J62" s="5"/>
      <c r="K62" s="5"/>
      <c r="L62" s="5"/>
      <c r="M62" s="5"/>
      <c r="N62" s="5"/>
      <c r="O62" s="53"/>
      <c r="P62" s="5"/>
      <c r="Q62" s="5"/>
      <c r="R62" s="4"/>
      <c r="S62" s="4"/>
    </row>
    <row r="63" spans="1:19" x14ac:dyDescent="0.25">
      <c r="A63" s="4"/>
      <c r="B63" s="4"/>
      <c r="C63" s="4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  <c r="O63" s="53"/>
      <c r="P63" s="5"/>
      <c r="Q63" s="5"/>
      <c r="R63" s="4"/>
      <c r="S63" s="4"/>
    </row>
    <row r="64" spans="1:19" x14ac:dyDescent="0.25">
      <c r="A64" s="4"/>
      <c r="B64" s="4"/>
      <c r="C64" s="4"/>
      <c r="D64" s="4"/>
      <c r="E64" s="4"/>
      <c r="F64" s="4"/>
      <c r="G64" s="4"/>
      <c r="H64" s="5"/>
      <c r="I64" s="5"/>
      <c r="J64" s="5"/>
      <c r="K64" s="5"/>
      <c r="L64" s="5"/>
      <c r="M64" s="5"/>
      <c r="N64" s="5"/>
      <c r="O64" s="53"/>
      <c r="P64" s="5"/>
      <c r="Q64" s="5"/>
      <c r="R64" s="4"/>
      <c r="S64" s="4"/>
    </row>
    <row r="65" spans="1:19" x14ac:dyDescent="0.25">
      <c r="A65" s="4"/>
      <c r="B65" s="4"/>
      <c r="C65" s="4"/>
      <c r="D65" s="4"/>
      <c r="E65" s="4"/>
      <c r="F65" s="4"/>
      <c r="G65" s="4"/>
      <c r="H65" s="5"/>
      <c r="I65" s="5"/>
      <c r="J65" s="5"/>
      <c r="K65" s="5"/>
      <c r="L65" s="5"/>
      <c r="M65" s="5"/>
      <c r="N65" s="5"/>
      <c r="O65" s="53"/>
      <c r="P65" s="5"/>
      <c r="Q65" s="5"/>
      <c r="R65" s="4"/>
      <c r="S65" s="4"/>
    </row>
    <row r="66" spans="1:19" x14ac:dyDescent="0.25">
      <c r="A66" s="4"/>
      <c r="B66" s="4"/>
      <c r="C66" s="4"/>
      <c r="D66" s="4"/>
      <c r="E66" s="4"/>
      <c r="F66" s="4"/>
      <c r="G66" s="4"/>
      <c r="H66" s="5"/>
      <c r="I66" s="5"/>
      <c r="J66" s="5"/>
      <c r="K66" s="5"/>
      <c r="L66" s="5"/>
      <c r="M66" s="5"/>
      <c r="N66" s="5"/>
      <c r="O66" s="53"/>
      <c r="P66" s="5"/>
      <c r="Q66" s="5"/>
      <c r="R66" s="4"/>
      <c r="S66" s="4"/>
    </row>
    <row r="67" spans="1:19" x14ac:dyDescent="0.25">
      <c r="A67" s="4"/>
      <c r="B67" s="4"/>
      <c r="C67" s="4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  <c r="O67" s="53"/>
      <c r="P67" s="5"/>
      <c r="Q67" s="5"/>
      <c r="R67" s="4"/>
      <c r="S67" s="4"/>
    </row>
    <row r="68" spans="1:19" x14ac:dyDescent="0.25">
      <c r="A68" s="4"/>
      <c r="B68" s="4"/>
      <c r="C68" s="4"/>
      <c r="D68" s="4"/>
      <c r="E68" s="4"/>
      <c r="F68" s="4"/>
      <c r="G68" s="4"/>
      <c r="H68" s="5"/>
      <c r="I68" s="5"/>
      <c r="J68" s="5"/>
      <c r="K68" s="5"/>
      <c r="L68" s="5"/>
      <c r="M68" s="5"/>
      <c r="N68" s="5"/>
      <c r="O68" s="53"/>
      <c r="P68" s="5"/>
      <c r="Q68" s="5"/>
      <c r="R68" s="4"/>
      <c r="S68" s="4"/>
    </row>
    <row r="69" spans="1:19" x14ac:dyDescent="0.25">
      <c r="A69" s="4"/>
      <c r="B69" s="4"/>
      <c r="C69" s="4"/>
      <c r="D69" s="4"/>
      <c r="E69" s="4"/>
      <c r="F69" s="4"/>
      <c r="G69" s="4"/>
      <c r="H69" s="5"/>
      <c r="I69" s="5"/>
      <c r="J69" s="5"/>
      <c r="K69" s="5"/>
      <c r="L69" s="5"/>
      <c r="M69" s="5"/>
      <c r="N69" s="5"/>
      <c r="O69" s="53"/>
      <c r="P69" s="5"/>
      <c r="Q69" s="5"/>
      <c r="R69" s="4"/>
      <c r="S69" s="4"/>
    </row>
    <row r="70" spans="1:19" x14ac:dyDescent="0.25">
      <c r="A70" s="4"/>
      <c r="B70" s="4"/>
      <c r="C70" s="4"/>
      <c r="D70" s="4"/>
      <c r="E70" s="4"/>
      <c r="F70" s="4"/>
      <c r="G70" s="4"/>
      <c r="H70" s="5"/>
      <c r="I70" s="5"/>
      <c r="J70" s="5"/>
      <c r="K70" s="5"/>
      <c r="L70" s="5"/>
      <c r="M70" s="5"/>
      <c r="N70" s="5"/>
      <c r="O70" s="53"/>
      <c r="P70" s="5"/>
      <c r="Q70" s="5"/>
      <c r="R70" s="4"/>
      <c r="S70" s="4"/>
    </row>
    <row r="71" spans="1:19" x14ac:dyDescent="0.25">
      <c r="A71" s="4"/>
      <c r="B71" s="4"/>
      <c r="C71" s="4"/>
      <c r="D71" s="4"/>
      <c r="E71" s="4"/>
      <c r="F71" s="4"/>
      <c r="G71" s="4"/>
      <c r="H71" s="5"/>
      <c r="I71" s="5"/>
      <c r="J71" s="5"/>
      <c r="K71" s="5"/>
      <c r="L71" s="5"/>
      <c r="M71" s="5"/>
      <c r="N71" s="5"/>
      <c r="O71" s="53"/>
      <c r="P71" s="5"/>
      <c r="Q71" s="5"/>
      <c r="R71" s="4"/>
      <c r="S71" s="4"/>
    </row>
    <row r="72" spans="1:19" x14ac:dyDescent="0.25">
      <c r="A72" s="4"/>
      <c r="B72" s="4"/>
      <c r="C72" s="4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  <c r="O72" s="53"/>
      <c r="P72" s="5"/>
      <c r="Q72" s="5"/>
      <c r="R72" s="4"/>
      <c r="S72" s="4"/>
    </row>
    <row r="73" spans="1:19" x14ac:dyDescent="0.25">
      <c r="A73" s="4"/>
      <c r="B73" s="4"/>
      <c r="C73" s="4"/>
      <c r="D73" s="4"/>
      <c r="E73" s="4"/>
      <c r="F73" s="4"/>
      <c r="G73" s="4"/>
      <c r="H73" s="5"/>
      <c r="I73" s="5"/>
      <c r="J73" s="5"/>
      <c r="K73" s="5"/>
      <c r="L73" s="5"/>
      <c r="M73" s="5"/>
      <c r="N73" s="5"/>
      <c r="O73" s="53"/>
      <c r="P73" s="5"/>
      <c r="Q73" s="5"/>
      <c r="R73" s="4"/>
      <c r="S73" s="4"/>
    </row>
    <row r="74" spans="1:19" x14ac:dyDescent="0.25">
      <c r="A74" s="4"/>
      <c r="B74" s="4"/>
      <c r="C74" s="4"/>
      <c r="D74" s="4"/>
      <c r="E74" s="4"/>
      <c r="F74" s="4"/>
      <c r="G74" s="4"/>
      <c r="H74" s="5"/>
      <c r="I74" s="5"/>
      <c r="J74" s="5"/>
      <c r="K74" s="5"/>
      <c r="L74" s="5"/>
      <c r="M74" s="5"/>
      <c r="N74" s="5"/>
      <c r="O74" s="53"/>
      <c r="P74" s="5"/>
      <c r="Q74" s="5"/>
      <c r="R74" s="4"/>
      <c r="S74" s="4"/>
    </row>
    <row r="75" spans="1:19" x14ac:dyDescent="0.25">
      <c r="A75" s="4"/>
      <c r="B75" s="4"/>
      <c r="C75" s="4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  <c r="O75" s="53"/>
      <c r="P75" s="5"/>
      <c r="Q75" s="5"/>
      <c r="R75" s="4"/>
      <c r="S75" s="4"/>
    </row>
    <row r="76" spans="1:19" x14ac:dyDescent="0.25">
      <c r="A76" s="4"/>
      <c r="B76" s="4"/>
      <c r="C76" s="4"/>
      <c r="D76" s="4"/>
      <c r="E76" s="4"/>
      <c r="F76" s="4"/>
      <c r="G76" s="4"/>
      <c r="H76" s="5"/>
      <c r="I76" s="5"/>
      <c r="J76" s="5"/>
      <c r="K76" s="5"/>
      <c r="L76" s="5"/>
      <c r="M76" s="5"/>
      <c r="N76" s="5"/>
      <c r="O76" s="53"/>
      <c r="P76" s="5"/>
      <c r="Q76" s="5"/>
      <c r="R76" s="4"/>
      <c r="S76" s="4"/>
    </row>
    <row r="77" spans="1:19" x14ac:dyDescent="0.25">
      <c r="A77" s="4"/>
      <c r="B77" s="4"/>
      <c r="C77" s="4"/>
      <c r="D77" s="4"/>
      <c r="E77" s="4"/>
      <c r="F77" s="4"/>
      <c r="G77" s="4"/>
      <c r="H77" s="5"/>
      <c r="I77" s="5"/>
      <c r="J77" s="5"/>
      <c r="K77" s="5"/>
      <c r="L77" s="5"/>
      <c r="M77" s="5"/>
      <c r="N77" s="5"/>
      <c r="O77" s="53"/>
      <c r="P77" s="5"/>
      <c r="Q77" s="5"/>
      <c r="R77" s="4"/>
      <c r="S77" s="4"/>
    </row>
    <row r="78" spans="1:19" x14ac:dyDescent="0.25">
      <c r="A78" s="4"/>
      <c r="B78" s="4"/>
      <c r="C78" s="4"/>
      <c r="D78" s="4"/>
      <c r="E78" s="4"/>
      <c r="F78" s="4"/>
      <c r="G78" s="4"/>
      <c r="H78" s="5"/>
      <c r="I78" s="5"/>
      <c r="J78" s="5"/>
      <c r="K78" s="5"/>
      <c r="L78" s="5"/>
      <c r="M78" s="5"/>
      <c r="N78" s="5"/>
      <c r="O78" s="53"/>
      <c r="P78" s="5"/>
      <c r="Q78" s="5"/>
      <c r="R78" s="4"/>
      <c r="S78" s="4"/>
    </row>
    <row r="79" spans="1:19" x14ac:dyDescent="0.25">
      <c r="A79" s="4"/>
      <c r="B79" s="4"/>
      <c r="C79" s="4"/>
      <c r="D79" s="4"/>
      <c r="E79" s="4"/>
      <c r="F79" s="4"/>
      <c r="G79" s="4"/>
      <c r="H79" s="5"/>
      <c r="I79" s="5"/>
      <c r="J79" s="5"/>
      <c r="K79" s="5"/>
      <c r="L79" s="5"/>
      <c r="M79" s="5"/>
      <c r="N79" s="5"/>
      <c r="O79" s="53"/>
      <c r="P79" s="5"/>
      <c r="Q79" s="5"/>
      <c r="R79" s="4"/>
      <c r="S79" s="4"/>
    </row>
    <row r="80" spans="1:19" x14ac:dyDescent="0.25">
      <c r="A80" s="4"/>
      <c r="B80" s="4"/>
      <c r="C80" s="4"/>
      <c r="D80" s="4"/>
      <c r="E80" s="4"/>
      <c r="F80" s="4"/>
      <c r="G80" s="4"/>
      <c r="H80" s="5"/>
      <c r="I80" s="5"/>
      <c r="J80" s="5"/>
      <c r="K80" s="5"/>
      <c r="L80" s="5"/>
      <c r="M80" s="5"/>
      <c r="N80" s="5"/>
      <c r="O80" s="53"/>
      <c r="P80" s="5"/>
      <c r="Q80" s="5"/>
      <c r="R80" s="4"/>
      <c r="S80" s="4"/>
    </row>
    <row r="81" spans="1:19" x14ac:dyDescent="0.25">
      <c r="A81" s="4"/>
      <c r="B81" s="4"/>
      <c r="C81" s="4"/>
      <c r="D81" s="4"/>
      <c r="E81" s="4"/>
      <c r="F81" s="4"/>
      <c r="G81" s="4"/>
      <c r="H81" s="5"/>
      <c r="I81" s="5"/>
      <c r="J81" s="5"/>
      <c r="K81" s="5"/>
      <c r="L81" s="5"/>
      <c r="M81" s="5"/>
      <c r="N81" s="5"/>
      <c r="O81" s="53"/>
      <c r="P81" s="5"/>
      <c r="Q81" s="5"/>
      <c r="R81" s="4"/>
      <c r="S81" s="4"/>
    </row>
    <row r="82" spans="1:1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</sheetData>
  <sortState ref="A2:O45">
    <sortCondition ref="C3"/>
  </sortState>
  <mergeCells count="2">
    <mergeCell ref="H1:N1"/>
    <mergeCell ref="U1:V1"/>
  </mergeCells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I7" sqref="I7"/>
    </sheetView>
  </sheetViews>
  <sheetFormatPr defaultRowHeight="15" x14ac:dyDescent="0.25"/>
  <cols>
    <col min="1" max="1" width="29.140625" customWidth="1"/>
    <col min="2" max="2" width="22" bestFit="1" customWidth="1"/>
    <col min="3" max="3" width="23.42578125" bestFit="1" customWidth="1"/>
    <col min="4" max="4" width="11.5703125" customWidth="1"/>
    <col min="5" max="5" width="19.85546875" bestFit="1" customWidth="1"/>
    <col min="9" max="9" width="11.140625" customWidth="1"/>
    <col min="13" max="13" width="10.85546875" customWidth="1"/>
    <col min="14" max="14" width="9.5703125" bestFit="1" customWidth="1"/>
    <col min="15" max="15" width="17.42578125" customWidth="1"/>
    <col min="16" max="16" width="10.28515625" customWidth="1"/>
  </cols>
  <sheetData>
    <row r="1" spans="1:15" thickBot="1" x14ac:dyDescent="0.35"/>
    <row r="2" spans="1:15" ht="43.15" x14ac:dyDescent="0.3">
      <c r="A2" s="65" t="s">
        <v>161</v>
      </c>
      <c r="B2" s="66" t="s">
        <v>144</v>
      </c>
      <c r="C2" s="66" t="s">
        <v>137</v>
      </c>
      <c r="D2" s="84" t="s">
        <v>159</v>
      </c>
      <c r="E2" s="66" t="s">
        <v>147</v>
      </c>
      <c r="F2" s="66" t="s">
        <v>148</v>
      </c>
      <c r="G2" s="66" t="s">
        <v>149</v>
      </c>
      <c r="H2" s="66" t="s">
        <v>150</v>
      </c>
      <c r="I2" s="80" t="s">
        <v>151</v>
      </c>
      <c r="J2" s="66" t="s">
        <v>152</v>
      </c>
      <c r="K2" s="81" t="s">
        <v>162</v>
      </c>
      <c r="L2" s="81" t="s">
        <v>163</v>
      </c>
      <c r="M2" s="82" t="s">
        <v>104</v>
      </c>
      <c r="N2" s="82" t="s">
        <v>105</v>
      </c>
      <c r="O2" s="83" t="s">
        <v>164</v>
      </c>
    </row>
    <row r="3" spans="1:15" ht="14.45" x14ac:dyDescent="0.3">
      <c r="A3" s="67" t="s">
        <v>138</v>
      </c>
      <c r="B3" s="68" t="s">
        <v>145</v>
      </c>
      <c r="C3" s="68" t="s">
        <v>146</v>
      </c>
      <c r="D3" s="68" t="s">
        <v>160</v>
      </c>
      <c r="E3" s="68">
        <v>14.5</v>
      </c>
      <c r="F3" s="68">
        <v>2550</v>
      </c>
      <c r="G3" s="68" t="s">
        <v>153</v>
      </c>
      <c r="H3" s="68">
        <v>3390</v>
      </c>
      <c r="I3" s="72">
        <v>3800</v>
      </c>
      <c r="J3" s="68">
        <v>4670</v>
      </c>
      <c r="K3" s="74">
        <f>I3*0.501</f>
        <v>1903.8</v>
      </c>
      <c r="L3" s="74">
        <f>I3*1.995</f>
        <v>7581</v>
      </c>
      <c r="M3" s="78">
        <f>I3-K3</f>
        <v>1896.2</v>
      </c>
      <c r="N3" s="78">
        <f>L3-I3</f>
        <v>3781</v>
      </c>
      <c r="O3" s="76">
        <v>5597.732</v>
      </c>
    </row>
    <row r="4" spans="1:15" ht="14.45" x14ac:dyDescent="0.3">
      <c r="A4" s="67" t="s">
        <v>139</v>
      </c>
      <c r="B4" s="68" t="s">
        <v>154</v>
      </c>
      <c r="C4" s="68" t="s">
        <v>155</v>
      </c>
      <c r="D4" s="68" t="s">
        <v>160</v>
      </c>
      <c r="E4" s="68">
        <v>59.2</v>
      </c>
      <c r="F4" s="68">
        <v>4480</v>
      </c>
      <c r="G4" s="68" t="s">
        <v>153</v>
      </c>
      <c r="H4" s="68">
        <v>6300</v>
      </c>
      <c r="I4" s="72">
        <v>7400</v>
      </c>
      <c r="J4" s="68">
        <v>9000</v>
      </c>
      <c r="K4" s="74">
        <f t="shared" ref="K4:K6" si="0">I4*0.501</f>
        <v>3707.4</v>
      </c>
      <c r="L4" s="74">
        <f t="shared" ref="L4:L6" si="1">I4*1.995</f>
        <v>14763</v>
      </c>
      <c r="M4" s="78">
        <f t="shared" ref="M4:M6" si="2">I4-K4</f>
        <v>3692.6</v>
      </c>
      <c r="N4" s="78">
        <f t="shared" ref="N4:N6" si="3">L4-I4</f>
        <v>7363</v>
      </c>
      <c r="O4" s="76">
        <v>4750.473</v>
      </c>
    </row>
    <row r="5" spans="1:15" ht="14.45" x14ac:dyDescent="0.3">
      <c r="A5" s="67" t="s">
        <v>140</v>
      </c>
      <c r="B5" s="68" t="s">
        <v>156</v>
      </c>
      <c r="C5" s="68" t="s">
        <v>157</v>
      </c>
      <c r="D5" s="68" t="s">
        <v>160</v>
      </c>
      <c r="E5" s="68">
        <v>10.9</v>
      </c>
      <c r="F5" s="68">
        <v>1170</v>
      </c>
      <c r="G5" s="68" t="s">
        <v>153</v>
      </c>
      <c r="H5" s="68">
        <v>1520</v>
      </c>
      <c r="I5" s="72">
        <v>1690</v>
      </c>
      <c r="J5" s="68">
        <v>2050</v>
      </c>
      <c r="K5" s="74">
        <f t="shared" si="0"/>
        <v>846.69</v>
      </c>
      <c r="L5" s="74">
        <f t="shared" si="1"/>
        <v>3371.55</v>
      </c>
      <c r="M5" s="78">
        <f t="shared" si="2"/>
        <v>843.31</v>
      </c>
      <c r="N5" s="78">
        <f t="shared" si="3"/>
        <v>1681.5500000000002</v>
      </c>
      <c r="O5" s="76">
        <v>1902.777</v>
      </c>
    </row>
    <row r="6" spans="1:15" ht="29.45" thickBot="1" x14ac:dyDescent="0.35">
      <c r="A6" s="69" t="s">
        <v>141</v>
      </c>
      <c r="B6" s="70" t="s">
        <v>145</v>
      </c>
      <c r="C6" s="71" t="s">
        <v>158</v>
      </c>
      <c r="D6" s="70" t="s">
        <v>160</v>
      </c>
      <c r="E6" s="70">
        <v>63.8</v>
      </c>
      <c r="F6" s="70">
        <v>4350</v>
      </c>
      <c r="G6" s="70" t="s">
        <v>153</v>
      </c>
      <c r="H6" s="70">
        <v>6100</v>
      </c>
      <c r="I6" s="73">
        <v>7200</v>
      </c>
      <c r="J6" s="70">
        <v>8700</v>
      </c>
      <c r="K6" s="75">
        <f t="shared" si="0"/>
        <v>3607.2</v>
      </c>
      <c r="L6" s="75">
        <f t="shared" si="1"/>
        <v>14364</v>
      </c>
      <c r="M6" s="79">
        <f t="shared" si="2"/>
        <v>3592.8</v>
      </c>
      <c r="N6" s="79">
        <f t="shared" si="3"/>
        <v>7164</v>
      </c>
      <c r="O6" s="77">
        <v>6580.6180000000004</v>
      </c>
    </row>
    <row r="7" spans="1:15" ht="14.45" x14ac:dyDescent="0.3">
      <c r="M7" s="54"/>
      <c r="N7" s="54"/>
    </row>
    <row r="8" spans="1:15" ht="14.45" x14ac:dyDescent="0.3">
      <c r="A8" t="s">
        <v>142</v>
      </c>
    </row>
    <row r="9" spans="1:15" ht="14.45" x14ac:dyDescent="0.3">
      <c r="A9" t="s">
        <v>143</v>
      </c>
    </row>
    <row r="11" spans="1:15" ht="14.45" x14ac:dyDescent="0.3">
      <c r="A11" t="s">
        <v>165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3"/>
  <sheetViews>
    <sheetView workbookViewId="0">
      <selection activeCell="T15" sqref="T15"/>
    </sheetView>
  </sheetViews>
  <sheetFormatPr defaultRowHeight="15" x14ac:dyDescent="0.25"/>
  <cols>
    <col min="1" max="1" width="26.140625" style="2" customWidth="1"/>
    <col min="2" max="2" width="10.28515625" style="2" bestFit="1" customWidth="1"/>
    <col min="19" max="19" width="10" customWidth="1"/>
    <col min="20" max="20" width="17.28515625" customWidth="1"/>
    <col min="21" max="21" width="13" customWidth="1"/>
  </cols>
  <sheetData>
    <row r="1" spans="19:21" thickBot="1" x14ac:dyDescent="0.35"/>
    <row r="2" spans="19:21" thickBot="1" x14ac:dyDescent="0.35">
      <c r="S2" s="10" t="s">
        <v>41</v>
      </c>
      <c r="T2" s="13"/>
      <c r="U2" s="12"/>
    </row>
    <row r="3" spans="19:21" thickBot="1" x14ac:dyDescent="0.35">
      <c r="S3" s="17" t="s">
        <v>45</v>
      </c>
      <c r="T3" s="11" t="s">
        <v>39</v>
      </c>
      <c r="U3" s="8" t="s">
        <v>40</v>
      </c>
    </row>
    <row r="4" spans="19:21" ht="14.45" x14ac:dyDescent="0.3">
      <c r="S4" s="7" t="s">
        <v>42</v>
      </c>
      <c r="T4" s="18">
        <v>0.94799999999999995</v>
      </c>
      <c r="U4" s="15">
        <v>321.3</v>
      </c>
    </row>
    <row r="5" spans="19:21" ht="14.45" x14ac:dyDescent="0.3">
      <c r="S5" s="7" t="s">
        <v>43</v>
      </c>
      <c r="T5" s="21">
        <v>0.48299999999999998</v>
      </c>
      <c r="U5" s="16">
        <v>863.72</v>
      </c>
    </row>
    <row r="6" spans="19:21" ht="14.45" x14ac:dyDescent="0.3">
      <c r="S6" s="7" t="s">
        <v>44</v>
      </c>
      <c r="T6" s="21">
        <v>2.4750000000000001</v>
      </c>
      <c r="U6" s="16">
        <v>493.41</v>
      </c>
    </row>
    <row r="7" spans="19:21" ht="14.45" x14ac:dyDescent="0.3">
      <c r="S7" s="7"/>
      <c r="T7" s="21">
        <v>0.88800000000000001</v>
      </c>
      <c r="U7" s="16">
        <v>477.78</v>
      </c>
    </row>
    <row r="8" spans="19:21" ht="14.45" x14ac:dyDescent="0.3">
      <c r="S8" s="7"/>
      <c r="T8" s="21"/>
      <c r="U8" s="16"/>
    </row>
    <row r="9" spans="19:21" thickBot="1" x14ac:dyDescent="0.35">
      <c r="S9" s="9"/>
      <c r="T9" s="19"/>
      <c r="U9" s="20"/>
    </row>
    <row r="33" spans="6:26" x14ac:dyDescent="0.25">
      <c r="S33" s="23" t="s">
        <v>46</v>
      </c>
      <c r="T33" s="24" t="s">
        <v>47</v>
      </c>
      <c r="U33" s="24" t="s">
        <v>48</v>
      </c>
      <c r="V33" s="24" t="s">
        <v>63</v>
      </c>
      <c r="W33" s="24" t="s">
        <v>49</v>
      </c>
      <c r="X33" s="25" t="s">
        <v>50</v>
      </c>
      <c r="Y33" s="27" t="s">
        <v>106</v>
      </c>
      <c r="Z33" s="27" t="s">
        <v>107</v>
      </c>
    </row>
    <row r="34" spans="6:26" x14ac:dyDescent="0.25">
      <c r="S34" s="26" t="s">
        <v>95</v>
      </c>
      <c r="T34" s="26" t="s">
        <v>96</v>
      </c>
      <c r="U34" s="26"/>
      <c r="V34" s="26">
        <v>19.399999999999999</v>
      </c>
      <c r="W34" s="26">
        <v>132</v>
      </c>
      <c r="X34" s="26">
        <v>3820</v>
      </c>
      <c r="Z34" t="s">
        <v>119</v>
      </c>
    </row>
    <row r="35" spans="6:26" x14ac:dyDescent="0.25">
      <c r="S35" s="26" t="s">
        <v>95</v>
      </c>
      <c r="T35" s="26" t="s">
        <v>97</v>
      </c>
      <c r="U35" s="26"/>
      <c r="V35" s="26">
        <v>3.7</v>
      </c>
      <c r="W35" s="26">
        <v>42</v>
      </c>
      <c r="X35" s="26">
        <v>1660</v>
      </c>
    </row>
    <row r="36" spans="6:26" x14ac:dyDescent="0.25">
      <c r="S36" s="26" t="s">
        <v>95</v>
      </c>
      <c r="T36" s="27" t="s">
        <v>98</v>
      </c>
      <c r="U36" s="26"/>
      <c r="V36" s="26">
        <v>2.6</v>
      </c>
      <c r="W36" s="26">
        <v>101</v>
      </c>
      <c r="X36" s="26">
        <v>1370</v>
      </c>
    </row>
    <row r="37" spans="6:26" x14ac:dyDescent="0.25">
      <c r="S37" t="s">
        <v>51</v>
      </c>
      <c r="T37" t="s">
        <v>64</v>
      </c>
      <c r="U37" t="s">
        <v>64</v>
      </c>
      <c r="V37">
        <v>0.94799999999999995</v>
      </c>
      <c r="W37">
        <v>321.3</v>
      </c>
    </row>
    <row r="38" spans="6:26" x14ac:dyDescent="0.25">
      <c r="S38" t="s">
        <v>51</v>
      </c>
      <c r="T38" t="s">
        <v>65</v>
      </c>
      <c r="U38" t="s">
        <v>65</v>
      </c>
      <c r="V38">
        <v>0.48299999999999998</v>
      </c>
      <c r="W38">
        <v>863.72</v>
      </c>
    </row>
    <row r="39" spans="6:26" x14ac:dyDescent="0.25">
      <c r="S39" t="s">
        <v>51</v>
      </c>
      <c r="T39" t="s">
        <v>66</v>
      </c>
      <c r="U39" t="s">
        <v>66</v>
      </c>
      <c r="V39">
        <v>2.4750000000000001</v>
      </c>
      <c r="W39">
        <v>493.41</v>
      </c>
    </row>
    <row r="40" spans="6:26" x14ac:dyDescent="0.25">
      <c r="S40" t="s">
        <v>51</v>
      </c>
      <c r="T40" t="s">
        <v>67</v>
      </c>
      <c r="U40" t="s">
        <v>67</v>
      </c>
      <c r="V40">
        <v>0.88800000000000001</v>
      </c>
      <c r="W40">
        <v>477.78</v>
      </c>
    </row>
    <row r="41" spans="6:26" x14ac:dyDescent="0.25">
      <c r="S41" s="28" t="s">
        <v>81</v>
      </c>
      <c r="T41" s="29" t="s">
        <v>82</v>
      </c>
      <c r="U41" s="29" t="s">
        <v>82</v>
      </c>
      <c r="V41" s="29">
        <v>1.43</v>
      </c>
      <c r="W41" s="29">
        <v>336</v>
      </c>
      <c r="X41" s="30">
        <v>1255</v>
      </c>
    </row>
    <row r="42" spans="6:26" x14ac:dyDescent="0.25">
      <c r="S42" s="31" t="s">
        <v>81</v>
      </c>
      <c r="T42" s="26" t="s">
        <v>83</v>
      </c>
      <c r="U42" s="26" t="s">
        <v>83</v>
      </c>
      <c r="V42" s="26">
        <v>3.96</v>
      </c>
      <c r="W42" s="26">
        <v>1712</v>
      </c>
      <c r="X42" s="32">
        <v>2731</v>
      </c>
    </row>
    <row r="43" spans="6:26" x14ac:dyDescent="0.25">
      <c r="S43" s="31" t="s">
        <v>84</v>
      </c>
      <c r="T43" s="26" t="s">
        <v>85</v>
      </c>
      <c r="U43" s="26" t="s">
        <v>85</v>
      </c>
      <c r="V43" s="26">
        <v>4.18</v>
      </c>
      <c r="W43" s="26">
        <v>3046</v>
      </c>
      <c r="X43" s="32">
        <v>2648</v>
      </c>
    </row>
    <row r="44" spans="6:26" x14ac:dyDescent="0.25">
      <c r="F44" s="14"/>
      <c r="S44" s="33" t="s">
        <v>81</v>
      </c>
      <c r="T44" s="34" t="s">
        <v>86</v>
      </c>
      <c r="U44" s="34" t="s">
        <v>86</v>
      </c>
      <c r="V44" s="34">
        <v>2.2000000000000002</v>
      </c>
      <c r="W44" s="34">
        <v>1864</v>
      </c>
      <c r="X44" s="35">
        <v>2200</v>
      </c>
    </row>
    <row r="45" spans="6:26" x14ac:dyDescent="0.25">
      <c r="F45" s="14"/>
    </row>
    <row r="46" spans="6:26" x14ac:dyDescent="0.25">
      <c r="F46" s="14"/>
    </row>
    <row r="47" spans="6:26" x14ac:dyDescent="0.25">
      <c r="F47" s="14"/>
    </row>
    <row r="48" spans="6:26" x14ac:dyDescent="0.25">
      <c r="F48" s="14"/>
      <c r="S48" s="23" t="s">
        <v>46</v>
      </c>
      <c r="T48" s="24" t="s">
        <v>47</v>
      </c>
      <c r="U48" s="24" t="s">
        <v>48</v>
      </c>
      <c r="V48" s="24" t="s">
        <v>63</v>
      </c>
      <c r="W48" s="24" t="s">
        <v>49</v>
      </c>
      <c r="X48" s="25" t="s">
        <v>50</v>
      </c>
      <c r="Y48" s="27" t="s">
        <v>106</v>
      </c>
      <c r="Z48" s="27" t="s">
        <v>107</v>
      </c>
    </row>
    <row r="49" spans="1:26" x14ac:dyDescent="0.25">
      <c r="A49" s="14"/>
      <c r="F49" s="14"/>
      <c r="S49" s="36" t="s">
        <v>76</v>
      </c>
      <c r="T49" s="36" t="s">
        <v>77</v>
      </c>
      <c r="U49" s="36" t="s">
        <v>78</v>
      </c>
      <c r="V49" s="36">
        <v>7.72</v>
      </c>
      <c r="W49" s="36">
        <v>70</v>
      </c>
      <c r="X49" s="36">
        <v>688</v>
      </c>
      <c r="Y49" t="s">
        <v>103</v>
      </c>
    </row>
    <row r="50" spans="1:26" x14ac:dyDescent="0.25">
      <c r="A50" s="14"/>
      <c r="F50" s="14"/>
      <c r="S50" s="36" t="s">
        <v>76</v>
      </c>
      <c r="T50" s="36" t="s">
        <v>79</v>
      </c>
      <c r="U50" s="36" t="s">
        <v>80</v>
      </c>
      <c r="V50" s="36">
        <v>5.33</v>
      </c>
      <c r="W50" s="36">
        <v>49</v>
      </c>
      <c r="X50" s="36">
        <v>381</v>
      </c>
      <c r="Y50" t="s">
        <v>103</v>
      </c>
    </row>
    <row r="51" spans="1:26" x14ac:dyDescent="0.25">
      <c r="A51" s="14"/>
      <c r="F51" s="14"/>
    </row>
    <row r="53" spans="1:26" x14ac:dyDescent="0.25">
      <c r="S53" s="28" t="s">
        <v>87</v>
      </c>
      <c r="T53" s="29">
        <v>10</v>
      </c>
      <c r="U53" s="29" t="s">
        <v>23</v>
      </c>
      <c r="V53" s="29">
        <v>20.399999999999999</v>
      </c>
      <c r="W53" s="29">
        <v>4617.8999999999996</v>
      </c>
      <c r="X53" s="30">
        <v>3681</v>
      </c>
      <c r="Z53">
        <v>2499.59</v>
      </c>
    </row>
    <row r="54" spans="1:26" x14ac:dyDescent="0.25">
      <c r="S54" s="31" t="s">
        <v>87</v>
      </c>
      <c r="T54" s="26">
        <v>8</v>
      </c>
      <c r="U54" s="26" t="s">
        <v>22</v>
      </c>
      <c r="V54" s="26">
        <v>12.3</v>
      </c>
      <c r="W54" s="26">
        <v>6923.5</v>
      </c>
      <c r="X54" s="32">
        <v>2861</v>
      </c>
      <c r="Z54">
        <v>4010.8</v>
      </c>
    </row>
    <row r="55" spans="1:26" x14ac:dyDescent="0.25">
      <c r="S55" s="31" t="s">
        <v>87</v>
      </c>
      <c r="T55" s="26" t="s">
        <v>88</v>
      </c>
      <c r="U55" s="26" t="s">
        <v>20</v>
      </c>
      <c r="V55" s="26">
        <v>6.6</v>
      </c>
      <c r="W55" s="26">
        <v>3786.8</v>
      </c>
      <c r="X55" s="32">
        <v>1793</v>
      </c>
      <c r="Z55">
        <v>1871.36</v>
      </c>
    </row>
    <row r="56" spans="1:26" x14ac:dyDescent="0.25">
      <c r="S56" s="31" t="s">
        <v>87</v>
      </c>
      <c r="T56" s="26" t="s">
        <v>89</v>
      </c>
      <c r="U56" s="26" t="s">
        <v>21</v>
      </c>
      <c r="V56" s="26">
        <v>3.9</v>
      </c>
      <c r="W56" s="26">
        <v>2609.1</v>
      </c>
      <c r="X56" s="32">
        <v>1169</v>
      </c>
      <c r="Z56">
        <v>1605.37</v>
      </c>
    </row>
    <row r="57" spans="1:26" x14ac:dyDescent="0.25">
      <c r="S57" s="33" t="s">
        <v>87</v>
      </c>
      <c r="T57" s="34" t="s">
        <v>90</v>
      </c>
      <c r="U57" s="34" t="s">
        <v>19</v>
      </c>
      <c r="V57" s="34">
        <v>2.2000000000000002</v>
      </c>
      <c r="W57" s="34">
        <v>1229.0999999999999</v>
      </c>
      <c r="X57" s="35">
        <v>783</v>
      </c>
      <c r="Z57">
        <v>1043.5999999999999</v>
      </c>
    </row>
    <row r="58" spans="1:26" x14ac:dyDescent="0.25">
      <c r="S58" s="38" t="s">
        <v>126</v>
      </c>
      <c r="T58" s="27" t="s">
        <v>125</v>
      </c>
      <c r="V58" s="27">
        <v>40</v>
      </c>
      <c r="W58" s="27">
        <v>8840</v>
      </c>
      <c r="Z58">
        <v>6507</v>
      </c>
    </row>
    <row r="63" spans="1:26" x14ac:dyDescent="0.25">
      <c r="S63" s="23" t="s">
        <v>46</v>
      </c>
      <c r="T63" s="24" t="s">
        <v>47</v>
      </c>
      <c r="U63" s="24" t="s">
        <v>48</v>
      </c>
      <c r="V63" s="24" t="s">
        <v>63</v>
      </c>
      <c r="W63" s="24" t="s">
        <v>49</v>
      </c>
      <c r="X63" s="25" t="s">
        <v>50</v>
      </c>
      <c r="Y63" s="27" t="s">
        <v>106</v>
      </c>
      <c r="Z63" s="27" t="s">
        <v>107</v>
      </c>
    </row>
    <row r="64" spans="1:26" x14ac:dyDescent="0.25">
      <c r="S64" t="s">
        <v>91</v>
      </c>
      <c r="T64" t="s">
        <v>92</v>
      </c>
      <c r="U64" t="s">
        <v>18</v>
      </c>
      <c r="V64">
        <v>3.1</v>
      </c>
      <c r="W64">
        <v>1428.96</v>
      </c>
      <c r="X64">
        <v>1275</v>
      </c>
      <c r="Z64">
        <v>420</v>
      </c>
    </row>
    <row r="65" spans="19:26" x14ac:dyDescent="0.25">
      <c r="S65" t="s">
        <v>91</v>
      </c>
      <c r="T65" t="s">
        <v>93</v>
      </c>
      <c r="U65" t="s">
        <v>16</v>
      </c>
      <c r="V65">
        <v>1.77</v>
      </c>
      <c r="W65">
        <v>605.70000000000005</v>
      </c>
      <c r="X65">
        <v>681</v>
      </c>
      <c r="Z65">
        <v>337</v>
      </c>
    </row>
    <row r="66" spans="19:26" x14ac:dyDescent="0.25">
      <c r="S66" t="s">
        <v>91</v>
      </c>
      <c r="T66" t="s">
        <v>94</v>
      </c>
      <c r="U66" t="s">
        <v>17</v>
      </c>
      <c r="V66">
        <v>12.4</v>
      </c>
      <c r="W66">
        <v>2271</v>
      </c>
      <c r="X66">
        <v>3324</v>
      </c>
      <c r="Z66">
        <v>1557</v>
      </c>
    </row>
    <row r="69" spans="19:26" x14ac:dyDescent="0.25">
      <c r="S69" t="s">
        <v>52</v>
      </c>
      <c r="T69" t="s">
        <v>68</v>
      </c>
      <c r="V69">
        <v>4.9000000000000004</v>
      </c>
      <c r="W69">
        <v>618</v>
      </c>
      <c r="Y69" t="s">
        <v>101</v>
      </c>
    </row>
    <row r="70" spans="19:26" x14ac:dyDescent="0.25">
      <c r="S70" t="s">
        <v>52</v>
      </c>
      <c r="T70" t="s">
        <v>69</v>
      </c>
      <c r="V70">
        <v>1.2</v>
      </c>
      <c r="W70">
        <v>312</v>
      </c>
      <c r="Y70" t="s">
        <v>102</v>
      </c>
    </row>
    <row r="71" spans="19:26" x14ac:dyDescent="0.25">
      <c r="S71" t="s">
        <v>52</v>
      </c>
      <c r="T71" t="s">
        <v>99</v>
      </c>
      <c r="V71">
        <v>5.6</v>
      </c>
      <c r="W71">
        <v>531</v>
      </c>
      <c r="Y71" t="s">
        <v>101</v>
      </c>
    </row>
    <row r="72" spans="19:26" x14ac:dyDescent="0.25">
      <c r="S72" t="s">
        <v>52</v>
      </c>
      <c r="T72" t="s">
        <v>100</v>
      </c>
      <c r="V72">
        <v>3.1</v>
      </c>
      <c r="W72">
        <v>664</v>
      </c>
      <c r="Y72" t="s">
        <v>101</v>
      </c>
    </row>
    <row r="78" spans="19:26" x14ac:dyDescent="0.25">
      <c r="S78" s="23" t="s">
        <v>46</v>
      </c>
      <c r="T78" s="24" t="s">
        <v>47</v>
      </c>
      <c r="U78" s="24" t="s">
        <v>48</v>
      </c>
      <c r="V78" s="24" t="s">
        <v>63</v>
      </c>
      <c r="W78" s="24" t="s">
        <v>49</v>
      </c>
      <c r="X78" s="25" t="s">
        <v>50</v>
      </c>
      <c r="Y78" s="27" t="s">
        <v>106</v>
      </c>
      <c r="Z78" s="27" t="s">
        <v>107</v>
      </c>
    </row>
    <row r="79" spans="19:26" x14ac:dyDescent="0.25">
      <c r="S79" t="s">
        <v>74</v>
      </c>
      <c r="T79" t="s">
        <v>75</v>
      </c>
      <c r="U79" t="s">
        <v>9</v>
      </c>
      <c r="V79">
        <v>5.6837900000000001</v>
      </c>
      <c r="W79">
        <v>3743</v>
      </c>
      <c r="Z79">
        <v>969</v>
      </c>
    </row>
    <row r="80" spans="19:26" x14ac:dyDescent="0.25">
      <c r="S80" t="s">
        <v>74</v>
      </c>
      <c r="T80" t="s">
        <v>128</v>
      </c>
      <c r="V80">
        <f>90523/640</f>
        <v>141.44218749999999</v>
      </c>
      <c r="W80">
        <v>3022</v>
      </c>
      <c r="Z80">
        <v>97</v>
      </c>
    </row>
    <row r="81" spans="19:27" x14ac:dyDescent="0.25">
      <c r="S81" t="s">
        <v>74</v>
      </c>
      <c r="T81" t="s">
        <v>127</v>
      </c>
      <c r="V81">
        <f>77238/640</f>
        <v>120.684375</v>
      </c>
      <c r="W81">
        <v>4730</v>
      </c>
      <c r="Z81">
        <v>802</v>
      </c>
    </row>
    <row r="82" spans="19:27" x14ac:dyDescent="0.25">
      <c r="S82" t="s">
        <v>74</v>
      </c>
      <c r="T82" t="s">
        <v>129</v>
      </c>
      <c r="V82">
        <f>26486/640</f>
        <v>41.384374999999999</v>
      </c>
      <c r="W82">
        <v>3420</v>
      </c>
      <c r="Z82">
        <v>1120</v>
      </c>
    </row>
    <row r="83" spans="19:27" x14ac:dyDescent="0.25">
      <c r="S83" t="s">
        <v>74</v>
      </c>
      <c r="T83" t="s">
        <v>130</v>
      </c>
      <c r="V83">
        <f>73548/640</f>
        <v>114.91875</v>
      </c>
      <c r="W83">
        <v>6150</v>
      </c>
      <c r="Z83">
        <v>1200</v>
      </c>
    </row>
    <row r="85" spans="19:27" x14ac:dyDescent="0.25">
      <c r="S85" t="s">
        <v>70</v>
      </c>
      <c r="T85" t="s">
        <v>72</v>
      </c>
      <c r="U85" t="s">
        <v>71</v>
      </c>
      <c r="V85">
        <f>23.88+0.29</f>
        <v>24.169999999999998</v>
      </c>
      <c r="W85">
        <v>1071.19</v>
      </c>
      <c r="AA85" t="s">
        <v>123</v>
      </c>
    </row>
    <row r="86" spans="19:27" x14ac:dyDescent="0.25">
      <c r="S86" t="s">
        <v>70</v>
      </c>
      <c r="T86" t="s">
        <v>73</v>
      </c>
      <c r="U86" t="s">
        <v>37</v>
      </c>
      <c r="V86">
        <v>6.3314300000000001</v>
      </c>
      <c r="W86">
        <v>548.25</v>
      </c>
    </row>
    <row r="87" spans="19:27" x14ac:dyDescent="0.25">
      <c r="S87" t="s">
        <v>70</v>
      </c>
      <c r="T87" t="s">
        <v>120</v>
      </c>
      <c r="V87">
        <f>106230/640</f>
        <v>165.984375</v>
      </c>
      <c r="W87">
        <v>2890</v>
      </c>
      <c r="Z87">
        <v>1406</v>
      </c>
    </row>
    <row r="88" spans="19:27" x14ac:dyDescent="0.25">
      <c r="S88" t="s">
        <v>70</v>
      </c>
      <c r="T88" t="s">
        <v>121</v>
      </c>
      <c r="V88">
        <f>106141/640</f>
        <v>165.84531250000001</v>
      </c>
      <c r="W88">
        <v>2993</v>
      </c>
      <c r="Z88">
        <v>1403</v>
      </c>
    </row>
    <row r="89" spans="19:27" x14ac:dyDescent="0.25">
      <c r="S89" t="s">
        <v>70</v>
      </c>
      <c r="T89" t="s">
        <v>122</v>
      </c>
      <c r="V89">
        <f>104519/640</f>
        <v>163.31093749999999</v>
      </c>
      <c r="W89">
        <v>2965</v>
      </c>
      <c r="Z89">
        <v>548</v>
      </c>
    </row>
    <row r="93" spans="19:27" x14ac:dyDescent="0.25">
      <c r="S93" s="23" t="s">
        <v>46</v>
      </c>
      <c r="T93" s="24" t="s">
        <v>47</v>
      </c>
      <c r="U93" s="24" t="s">
        <v>48</v>
      </c>
      <c r="V93" s="24" t="s">
        <v>63</v>
      </c>
      <c r="W93" s="24" t="s">
        <v>49</v>
      </c>
      <c r="X93" s="25" t="s">
        <v>50</v>
      </c>
      <c r="Y93" s="27" t="s">
        <v>106</v>
      </c>
      <c r="Z93" s="27" t="s">
        <v>107</v>
      </c>
    </row>
    <row r="94" spans="19:27" x14ac:dyDescent="0.25">
      <c r="S94" t="s">
        <v>53</v>
      </c>
      <c r="T94" t="s">
        <v>54</v>
      </c>
      <c r="U94" t="s">
        <v>11</v>
      </c>
      <c r="V94">
        <v>32.82</v>
      </c>
      <c r="W94">
        <v>12670</v>
      </c>
      <c r="X94">
        <v>4441</v>
      </c>
      <c r="Z94">
        <v>4032</v>
      </c>
    </row>
    <row r="95" spans="19:27" x14ac:dyDescent="0.25">
      <c r="S95" t="s">
        <v>53</v>
      </c>
      <c r="T95" t="s">
        <v>55</v>
      </c>
      <c r="U95" t="s">
        <v>12</v>
      </c>
      <c r="V95">
        <v>33</v>
      </c>
      <c r="W95">
        <v>17810</v>
      </c>
      <c r="X95">
        <v>4762</v>
      </c>
      <c r="Z95">
        <v>6204</v>
      </c>
    </row>
    <row r="96" spans="19:27" x14ac:dyDescent="0.25">
      <c r="S96" t="s">
        <v>53</v>
      </c>
      <c r="T96" t="s">
        <v>56</v>
      </c>
      <c r="U96" t="s">
        <v>13</v>
      </c>
      <c r="V96">
        <v>8.4600000000000009</v>
      </c>
      <c r="W96">
        <v>6800</v>
      </c>
      <c r="X96">
        <v>1758</v>
      </c>
      <c r="Z96">
        <v>2313</v>
      </c>
    </row>
    <row r="97" spans="19:26" x14ac:dyDescent="0.25">
      <c r="S97" t="s">
        <v>53</v>
      </c>
      <c r="T97" t="s">
        <v>57</v>
      </c>
      <c r="U97" t="s">
        <v>14</v>
      </c>
      <c r="V97">
        <v>130.55000000000001</v>
      </c>
      <c r="W97">
        <v>18870</v>
      </c>
      <c r="X97">
        <v>8388</v>
      </c>
      <c r="Z97">
        <v>5460</v>
      </c>
    </row>
    <row r="98" spans="19:26" x14ac:dyDescent="0.25">
      <c r="S98" t="s">
        <v>53</v>
      </c>
      <c r="T98" t="s">
        <v>58</v>
      </c>
      <c r="U98" t="s">
        <v>15</v>
      </c>
      <c r="V98">
        <v>281.85000000000002</v>
      </c>
      <c r="W98">
        <v>18530</v>
      </c>
      <c r="X98">
        <v>14825</v>
      </c>
      <c r="Z98">
        <v>5040</v>
      </c>
    </row>
    <row r="99" spans="19:26" x14ac:dyDescent="0.25">
      <c r="S99" t="s">
        <v>53</v>
      </c>
      <c r="T99" t="s">
        <v>59</v>
      </c>
      <c r="U99" t="s">
        <v>10</v>
      </c>
      <c r="V99">
        <v>30.4</v>
      </c>
      <c r="W99">
        <v>3684</v>
      </c>
      <c r="X99">
        <v>4829</v>
      </c>
      <c r="Z99">
        <v>1084</v>
      </c>
    </row>
    <row r="102" spans="19:26" x14ac:dyDescent="0.25">
      <c r="S102" t="s">
        <v>60</v>
      </c>
      <c r="T102" t="s">
        <v>61</v>
      </c>
      <c r="U102" t="s">
        <v>62</v>
      </c>
      <c r="V102">
        <v>2.17</v>
      </c>
      <c r="W102">
        <v>473</v>
      </c>
      <c r="X102">
        <v>409</v>
      </c>
      <c r="Z102" t="s">
        <v>118</v>
      </c>
    </row>
    <row r="103" spans="19:26" x14ac:dyDescent="0.25">
      <c r="S103" t="s">
        <v>60</v>
      </c>
      <c r="T103" t="s">
        <v>124</v>
      </c>
      <c r="V103">
        <f>188548/640</f>
        <v>294.60624999999999</v>
      </c>
      <c r="W103">
        <v>18599</v>
      </c>
    </row>
  </sheetData>
  <sortState ref="A1:B48">
    <sortCondition ref="A2"/>
  </sortState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A21" sqref="A21"/>
    </sheetView>
  </sheetViews>
  <sheetFormatPr defaultRowHeight="15" x14ac:dyDescent="0.25"/>
  <cols>
    <col min="1" max="1" width="13.140625" bestFit="1" customWidth="1"/>
    <col min="2" max="2" width="19.85546875" bestFit="1" customWidth="1"/>
    <col min="3" max="3" width="22" bestFit="1" customWidth="1"/>
    <col min="4" max="4" width="20.42578125" bestFit="1" customWidth="1"/>
    <col min="5" max="5" width="14" bestFit="1" customWidth="1"/>
    <col min="6" max="6" width="20.42578125" bestFit="1" customWidth="1"/>
  </cols>
  <sheetData>
    <row r="1" spans="1:9" ht="14.45" x14ac:dyDescent="0.3">
      <c r="A1" t="s">
        <v>46</v>
      </c>
      <c r="B1" t="s">
        <v>47</v>
      </c>
      <c r="C1" t="s">
        <v>48</v>
      </c>
      <c r="D1" t="s">
        <v>63</v>
      </c>
      <c r="E1" t="s">
        <v>49</v>
      </c>
      <c r="F1" t="s">
        <v>50</v>
      </c>
    </row>
    <row r="2" spans="1:9" ht="14.45" x14ac:dyDescent="0.3">
      <c r="A2" t="s">
        <v>51</v>
      </c>
      <c r="B2" t="s">
        <v>64</v>
      </c>
      <c r="C2" t="s">
        <v>64</v>
      </c>
      <c r="D2">
        <v>0.94799999999999995</v>
      </c>
      <c r="E2">
        <v>321.3</v>
      </c>
      <c r="H2" t="s">
        <v>108</v>
      </c>
    </row>
    <row r="3" spans="1:9" ht="14.45" x14ac:dyDescent="0.3">
      <c r="A3" t="s">
        <v>51</v>
      </c>
      <c r="B3" t="s">
        <v>65</v>
      </c>
      <c r="C3" t="s">
        <v>65</v>
      </c>
      <c r="D3">
        <v>0.48299999999999998</v>
      </c>
      <c r="E3">
        <v>863.72</v>
      </c>
      <c r="H3" t="s">
        <v>108</v>
      </c>
    </row>
    <row r="4" spans="1:9" ht="14.45" x14ac:dyDescent="0.3">
      <c r="A4" t="s">
        <v>51</v>
      </c>
      <c r="B4" t="s">
        <v>66</v>
      </c>
      <c r="C4" t="s">
        <v>66</v>
      </c>
      <c r="D4">
        <v>2.4750000000000001</v>
      </c>
      <c r="E4">
        <v>493.41</v>
      </c>
      <c r="H4" t="s">
        <v>108</v>
      </c>
    </row>
    <row r="5" spans="1:9" ht="14.45" x14ac:dyDescent="0.3">
      <c r="A5" t="s">
        <v>51</v>
      </c>
      <c r="B5" t="s">
        <v>67</v>
      </c>
      <c r="C5" t="s">
        <v>67</v>
      </c>
      <c r="D5">
        <v>0.88800000000000001</v>
      </c>
      <c r="E5">
        <v>477.78</v>
      </c>
      <c r="H5" t="s">
        <v>108</v>
      </c>
    </row>
    <row r="9" spans="1:9" ht="14.45" x14ac:dyDescent="0.3">
      <c r="A9" t="s">
        <v>46</v>
      </c>
      <c r="B9" t="s">
        <v>47</v>
      </c>
      <c r="C9" t="s">
        <v>48</v>
      </c>
      <c r="D9" t="s">
        <v>39</v>
      </c>
      <c r="E9" t="s">
        <v>49</v>
      </c>
      <c r="F9" t="s">
        <v>50</v>
      </c>
    </row>
    <row r="10" spans="1:9" ht="14.45" x14ac:dyDescent="0.3">
      <c r="A10" t="s">
        <v>53</v>
      </c>
      <c r="B10" t="s">
        <v>54</v>
      </c>
      <c r="C10" t="s">
        <v>11</v>
      </c>
      <c r="D10">
        <v>32.82</v>
      </c>
      <c r="E10">
        <v>12670</v>
      </c>
      <c r="F10">
        <v>4441</v>
      </c>
      <c r="H10" t="s">
        <v>109</v>
      </c>
      <c r="I10" t="s">
        <v>117</v>
      </c>
    </row>
    <row r="11" spans="1:9" ht="14.45" x14ac:dyDescent="0.3">
      <c r="A11" t="s">
        <v>53</v>
      </c>
      <c r="B11" t="s">
        <v>55</v>
      </c>
      <c r="C11" t="s">
        <v>12</v>
      </c>
      <c r="D11">
        <v>33</v>
      </c>
      <c r="E11">
        <v>17810</v>
      </c>
      <c r="F11">
        <v>4762</v>
      </c>
      <c r="H11" t="s">
        <v>109</v>
      </c>
      <c r="I11" t="s">
        <v>117</v>
      </c>
    </row>
    <row r="12" spans="1:9" ht="14.45" x14ac:dyDescent="0.3">
      <c r="A12" t="s">
        <v>53</v>
      </c>
      <c r="B12" t="s">
        <v>56</v>
      </c>
      <c r="C12" t="s">
        <v>13</v>
      </c>
      <c r="D12">
        <v>8.4600000000000009</v>
      </c>
      <c r="E12">
        <v>6800</v>
      </c>
      <c r="F12">
        <v>1758</v>
      </c>
      <c r="H12" t="s">
        <v>109</v>
      </c>
      <c r="I12" t="s">
        <v>117</v>
      </c>
    </row>
    <row r="13" spans="1:9" ht="14.45" x14ac:dyDescent="0.3">
      <c r="A13" t="s">
        <v>53</v>
      </c>
      <c r="B13" t="s">
        <v>57</v>
      </c>
      <c r="C13" t="s">
        <v>14</v>
      </c>
      <c r="D13">
        <v>130.55000000000001</v>
      </c>
      <c r="E13">
        <v>18870</v>
      </c>
      <c r="F13">
        <v>8388</v>
      </c>
      <c r="H13" t="s">
        <v>109</v>
      </c>
      <c r="I13" t="s">
        <v>117</v>
      </c>
    </row>
    <row r="14" spans="1:9" ht="14.45" x14ac:dyDescent="0.3">
      <c r="A14" t="s">
        <v>53</v>
      </c>
      <c r="B14" t="s">
        <v>58</v>
      </c>
      <c r="C14" t="s">
        <v>15</v>
      </c>
      <c r="D14">
        <v>281.85000000000002</v>
      </c>
      <c r="E14">
        <v>18530</v>
      </c>
      <c r="F14">
        <v>14825</v>
      </c>
      <c r="H14" t="s">
        <v>109</v>
      </c>
      <c r="I14" t="s">
        <v>117</v>
      </c>
    </row>
    <row r="15" spans="1:9" ht="14.45" x14ac:dyDescent="0.3">
      <c r="A15" t="s">
        <v>53</v>
      </c>
      <c r="B15" t="s">
        <v>59</v>
      </c>
      <c r="C15" t="s">
        <v>10</v>
      </c>
      <c r="D15">
        <v>30.4</v>
      </c>
      <c r="E15">
        <v>3684</v>
      </c>
      <c r="F15">
        <v>4829</v>
      </c>
      <c r="H15" t="s">
        <v>109</v>
      </c>
      <c r="I15" t="s">
        <v>117</v>
      </c>
    </row>
    <row r="16" spans="1:9" ht="14.45" x14ac:dyDescent="0.3">
      <c r="A16" t="s">
        <v>60</v>
      </c>
      <c r="B16" t="s">
        <v>61</v>
      </c>
      <c r="C16" t="s">
        <v>62</v>
      </c>
      <c r="D16">
        <v>2.17</v>
      </c>
      <c r="E16">
        <v>473</v>
      </c>
      <c r="F16">
        <v>409</v>
      </c>
      <c r="H16" t="s">
        <v>109</v>
      </c>
      <c r="I16" t="s">
        <v>116</v>
      </c>
    </row>
    <row r="20" spans="1:9" ht="14.45" x14ac:dyDescent="0.3">
      <c r="A20" t="s">
        <v>46</v>
      </c>
      <c r="B20" t="s">
        <v>47</v>
      </c>
      <c r="C20" t="s">
        <v>48</v>
      </c>
      <c r="D20" t="s">
        <v>39</v>
      </c>
      <c r="E20" t="s">
        <v>49</v>
      </c>
      <c r="F20" t="s">
        <v>50</v>
      </c>
    </row>
    <row r="21" spans="1:9" ht="14.45" x14ac:dyDescent="0.3">
      <c r="A21" t="s">
        <v>70</v>
      </c>
      <c r="B21" t="s">
        <v>110</v>
      </c>
      <c r="C21" t="s">
        <v>71</v>
      </c>
      <c r="D21" t="s">
        <v>111</v>
      </c>
      <c r="E21">
        <v>837.56</v>
      </c>
      <c r="H21" t="s">
        <v>112</v>
      </c>
      <c r="I21" t="s">
        <v>115</v>
      </c>
    </row>
    <row r="22" spans="1:9" ht="14.45" x14ac:dyDescent="0.3">
      <c r="A22" t="s">
        <v>70</v>
      </c>
      <c r="B22" t="s">
        <v>72</v>
      </c>
      <c r="C22" t="s">
        <v>71</v>
      </c>
      <c r="D22" t="s">
        <v>111</v>
      </c>
      <c r="E22">
        <v>1071.19</v>
      </c>
      <c r="H22" t="s">
        <v>112</v>
      </c>
      <c r="I22" t="s">
        <v>115</v>
      </c>
    </row>
    <row r="23" spans="1:9" ht="14.45" x14ac:dyDescent="0.3">
      <c r="A23" t="s">
        <v>70</v>
      </c>
      <c r="B23" t="s">
        <v>73</v>
      </c>
      <c r="C23" t="s">
        <v>37</v>
      </c>
      <c r="D23">
        <v>6.3314300000000001</v>
      </c>
      <c r="E23">
        <v>548.25</v>
      </c>
      <c r="H23" t="s">
        <v>112</v>
      </c>
      <c r="I23" t="s">
        <v>115</v>
      </c>
    </row>
    <row r="24" spans="1:9" ht="14.45" x14ac:dyDescent="0.3">
      <c r="A24" t="s">
        <v>74</v>
      </c>
      <c r="B24" t="s">
        <v>75</v>
      </c>
      <c r="C24" t="s">
        <v>9</v>
      </c>
      <c r="D24">
        <v>5.6837900000000001</v>
      </c>
      <c r="E24">
        <v>3743</v>
      </c>
      <c r="H24" t="s">
        <v>112</v>
      </c>
      <c r="I24" t="s">
        <v>117</v>
      </c>
    </row>
    <row r="27" spans="1:9" x14ac:dyDescent="0.25">
      <c r="A27" t="s">
        <v>46</v>
      </c>
      <c r="B27" t="s">
        <v>47</v>
      </c>
      <c r="C27" t="s">
        <v>48</v>
      </c>
      <c r="D27" t="s">
        <v>39</v>
      </c>
      <c r="E27" t="s">
        <v>49</v>
      </c>
      <c r="F27" t="s">
        <v>50</v>
      </c>
    </row>
    <row r="28" spans="1:9" x14ac:dyDescent="0.25">
      <c r="A28" t="s">
        <v>52</v>
      </c>
      <c r="B28" t="s">
        <v>68</v>
      </c>
      <c r="E28">
        <v>618</v>
      </c>
      <c r="H28" t="s">
        <v>113</v>
      </c>
    </row>
    <row r="29" spans="1:9" x14ac:dyDescent="0.25">
      <c r="A29" t="s">
        <v>52</v>
      </c>
      <c r="B29" t="s">
        <v>69</v>
      </c>
      <c r="E29">
        <v>312</v>
      </c>
      <c r="H29" t="s">
        <v>113</v>
      </c>
    </row>
    <row r="33" spans="1:8" x14ac:dyDescent="0.25">
      <c r="A33" t="s">
        <v>46</v>
      </c>
      <c r="B33" t="s">
        <v>47</v>
      </c>
      <c r="C33" t="s">
        <v>48</v>
      </c>
      <c r="D33" t="s">
        <v>39</v>
      </c>
      <c r="E33" t="s">
        <v>49</v>
      </c>
      <c r="F33" t="s">
        <v>50</v>
      </c>
    </row>
    <row r="34" spans="1:8" x14ac:dyDescent="0.25">
      <c r="A34" t="s">
        <v>76</v>
      </c>
      <c r="B34" t="s">
        <v>77</v>
      </c>
      <c r="C34" t="s">
        <v>78</v>
      </c>
      <c r="D34">
        <v>7.72</v>
      </c>
      <c r="E34">
        <v>70</v>
      </c>
      <c r="F34">
        <v>688</v>
      </c>
      <c r="H34" t="s">
        <v>114</v>
      </c>
    </row>
    <row r="35" spans="1:8" x14ac:dyDescent="0.25">
      <c r="A35" t="s">
        <v>76</v>
      </c>
      <c r="B35" t="s">
        <v>79</v>
      </c>
      <c r="C35" t="s">
        <v>80</v>
      </c>
      <c r="D35">
        <v>5.33</v>
      </c>
      <c r="E35">
        <v>49</v>
      </c>
      <c r="F35">
        <v>381</v>
      </c>
      <c r="H35" t="s">
        <v>114</v>
      </c>
    </row>
    <row r="36" spans="1:8" x14ac:dyDescent="0.25">
      <c r="A36" t="s">
        <v>81</v>
      </c>
      <c r="B36" t="s">
        <v>82</v>
      </c>
      <c r="C36" t="s">
        <v>82</v>
      </c>
      <c r="D36">
        <v>1.43</v>
      </c>
      <c r="E36">
        <v>336</v>
      </c>
      <c r="F36">
        <v>1255</v>
      </c>
      <c r="H36" t="s">
        <v>114</v>
      </c>
    </row>
    <row r="37" spans="1:8" x14ac:dyDescent="0.25">
      <c r="A37" t="s">
        <v>81</v>
      </c>
      <c r="B37" t="s">
        <v>83</v>
      </c>
      <c r="C37" t="s">
        <v>83</v>
      </c>
      <c r="D37">
        <v>3.96</v>
      </c>
      <c r="E37">
        <v>1712</v>
      </c>
      <c r="F37">
        <v>2731</v>
      </c>
      <c r="H37" t="s">
        <v>114</v>
      </c>
    </row>
    <row r="38" spans="1:8" x14ac:dyDescent="0.25">
      <c r="A38" t="s">
        <v>84</v>
      </c>
      <c r="B38" t="s">
        <v>85</v>
      </c>
      <c r="C38" t="s">
        <v>85</v>
      </c>
      <c r="D38">
        <v>4.18</v>
      </c>
      <c r="E38">
        <v>3046</v>
      </c>
      <c r="F38">
        <v>2648</v>
      </c>
      <c r="H38" t="s">
        <v>114</v>
      </c>
    </row>
    <row r="39" spans="1:8" x14ac:dyDescent="0.25">
      <c r="A39" t="s">
        <v>81</v>
      </c>
      <c r="B39" t="s">
        <v>86</v>
      </c>
      <c r="C39" t="s">
        <v>86</v>
      </c>
      <c r="D39">
        <v>2.2000000000000002</v>
      </c>
      <c r="E39">
        <v>1864</v>
      </c>
      <c r="F39">
        <v>2200</v>
      </c>
      <c r="H39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"/>
  <sheetViews>
    <sheetView workbookViewId="0">
      <selection activeCell="V8" sqref="V8"/>
    </sheetView>
  </sheetViews>
  <sheetFormatPr defaultRowHeight="15" x14ac:dyDescent="0.25"/>
  <cols>
    <col min="2" max="2" width="20.42578125" customWidth="1"/>
    <col min="3" max="3" width="13.85546875" customWidth="1"/>
  </cols>
  <sheetData>
    <row r="1" spans="1:15" ht="15.75" thickBot="1" x14ac:dyDescent="0.3">
      <c r="A1" s="58"/>
      <c r="B1" s="59"/>
      <c r="C1" s="59"/>
      <c r="D1" s="59"/>
      <c r="E1" s="59"/>
      <c r="F1" s="59"/>
      <c r="G1" s="59"/>
      <c r="H1" s="59"/>
      <c r="I1" s="59"/>
      <c r="J1" s="59"/>
      <c r="K1" s="115" t="s">
        <v>136</v>
      </c>
      <c r="L1" s="115"/>
      <c r="M1" s="115"/>
      <c r="N1" s="115"/>
      <c r="O1" s="116"/>
    </row>
    <row r="2" spans="1:15" x14ac:dyDescent="0.25">
      <c r="A2" s="43" t="s">
        <v>131</v>
      </c>
      <c r="B2" s="44" t="s">
        <v>180</v>
      </c>
      <c r="C2" s="44" t="s">
        <v>1</v>
      </c>
      <c r="D2" s="44" t="s">
        <v>2</v>
      </c>
      <c r="E2" s="44" t="s">
        <v>3</v>
      </c>
      <c r="F2" s="44" t="s">
        <v>4</v>
      </c>
      <c r="G2" s="44" t="s">
        <v>5</v>
      </c>
      <c r="H2" s="44" t="s">
        <v>6</v>
      </c>
      <c r="I2" s="44" t="s">
        <v>7</v>
      </c>
      <c r="J2" s="44" t="s">
        <v>8</v>
      </c>
      <c r="K2" s="44" t="s">
        <v>32</v>
      </c>
      <c r="L2" s="44" t="s">
        <v>33</v>
      </c>
      <c r="M2" s="44" t="s">
        <v>34</v>
      </c>
      <c r="N2" s="60" t="s">
        <v>35</v>
      </c>
      <c r="O2" s="55" t="s">
        <v>36</v>
      </c>
    </row>
    <row r="3" spans="1:15" x14ac:dyDescent="0.25">
      <c r="A3" s="45" t="s">
        <v>179</v>
      </c>
      <c r="B3" s="113">
        <v>120500040505</v>
      </c>
      <c r="C3" s="39" t="s">
        <v>181</v>
      </c>
      <c r="D3" s="39">
        <v>34.93</v>
      </c>
      <c r="E3" s="39"/>
      <c r="F3" s="39"/>
      <c r="G3" s="39"/>
      <c r="H3" s="107" t="e">
        <f>(C11-D11)/H11</f>
        <v>#DIV/0!</v>
      </c>
      <c r="I3" s="39">
        <v>21</v>
      </c>
      <c r="J3" s="39">
        <v>-9.4E-2</v>
      </c>
      <c r="K3" s="39"/>
      <c r="L3" s="39"/>
      <c r="M3" s="39"/>
      <c r="N3" s="56">
        <v>41250</v>
      </c>
      <c r="O3" s="56"/>
    </row>
    <row r="4" spans="1:15" x14ac:dyDescent="0.25">
      <c r="A4" s="45" t="s">
        <v>179</v>
      </c>
      <c r="B4" s="113">
        <v>120500040404</v>
      </c>
      <c r="C4" s="39" t="s">
        <v>182</v>
      </c>
      <c r="D4" s="39">
        <v>51.51</v>
      </c>
      <c r="E4" s="39"/>
      <c r="F4" s="39"/>
      <c r="G4" s="39"/>
      <c r="H4" s="107">
        <v>3.2859999999999999E-3</v>
      </c>
      <c r="I4" s="39">
        <v>21</v>
      </c>
      <c r="J4" s="39">
        <v>-0.10299999999999999</v>
      </c>
      <c r="K4" s="39"/>
      <c r="L4" s="39"/>
      <c r="M4" s="39"/>
      <c r="N4" s="108">
        <v>11202.2</v>
      </c>
      <c r="O4" s="56"/>
    </row>
    <row r="5" spans="1:15" x14ac:dyDescent="0.25">
      <c r="A5" s="45" t="s">
        <v>179</v>
      </c>
      <c r="B5" s="113">
        <v>120500040502</v>
      </c>
      <c r="C5" s="39" t="s">
        <v>183</v>
      </c>
      <c r="D5" s="39">
        <v>44.1</v>
      </c>
      <c r="E5" s="39"/>
      <c r="F5" s="39"/>
      <c r="G5" s="39"/>
      <c r="H5" s="107">
        <v>8.2609999999999992E-3</v>
      </c>
      <c r="I5" s="39">
        <v>21</v>
      </c>
      <c r="J5" s="39">
        <v>-0.10299999999999999</v>
      </c>
      <c r="K5" s="39"/>
      <c r="L5" s="39"/>
      <c r="M5" s="39"/>
      <c r="N5" s="108">
        <v>3003.79</v>
      </c>
      <c r="O5" s="56"/>
    </row>
    <row r="6" spans="1:15" x14ac:dyDescent="0.25">
      <c r="A6" s="45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61"/>
      <c r="O6" s="56"/>
    </row>
    <row r="7" spans="1:15" x14ac:dyDescent="0.25">
      <c r="A7" s="45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61"/>
      <c r="O7" s="56"/>
    </row>
    <row r="8" spans="1:15" ht="15.75" thickBot="1" x14ac:dyDescent="0.3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62"/>
      <c r="O8" s="57"/>
    </row>
  </sheetData>
  <mergeCells count="1">
    <mergeCell ref="K1:O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Calibration Points_Basins</vt:lpstr>
      <vt:lpstr>SIR 2009-5087 (L Moment Based)</vt:lpstr>
      <vt:lpstr>FIS Report</vt:lpstr>
      <vt:lpstr>Work Area Test Plots</vt:lpstr>
      <vt:lpstr>Sheet1</vt:lpstr>
      <vt:lpstr>Sheet2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Cozmyer, Reuben</dc:creator>
  <cp:lastModifiedBy>Hendrickson, Reece</cp:lastModifiedBy>
  <dcterms:created xsi:type="dcterms:W3CDTF">2019-02-11T21:16:55Z</dcterms:created>
  <dcterms:modified xsi:type="dcterms:W3CDTF">2023-06-01T21:19:50Z</dcterms:modified>
</cp:coreProperties>
</file>