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14385" windowHeight="12840" firstSheet="1" activeTab="1"/>
  </bookViews>
  <sheets>
    <sheet name="Sample Regression" sheetId="1" state="hidden" r:id="rId1"/>
    <sheet name="Calculator" sheetId="2" r:id="rId2"/>
    <sheet name="Final flows" sheetId="3" r:id="rId3"/>
    <sheet name="Rough Calculations" sheetId="4" state="hidden" r:id="rId4"/>
  </sheets>
  <definedNames>
    <definedName name="_xlnm._FilterDatabase" localSheetId="0" hidden="1">'Sample Regression'!$A$1:$S$28</definedName>
    <definedName name="Z_0569136B_3B59_4622_A5A0_86B031190133_.wvu.Cols" localSheetId="0" hidden="1">'Sample Regression'!$C:$C,'Sample Regression'!$G:$H,'Sample Regression'!$J:$M</definedName>
    <definedName name="Z_0569136B_3B59_4622_A5A0_86B031190133_.wvu.FilterData" localSheetId="0" hidden="1">'Sample Regression'!$A$1:$S$28</definedName>
    <definedName name="Z_2E8612BB_3F49_4C27_803C_15A448859D4C_.wvu.Cols" localSheetId="0" hidden="1">'Sample Regression'!$C:$C,'Sample Regression'!$G:$H,'Sample Regression'!$J:$M</definedName>
    <definedName name="Z_2E8612BB_3F49_4C27_803C_15A448859D4C_.wvu.FilterData" localSheetId="0" hidden="1">'Sample Regression'!$A$1:$S$28</definedName>
    <definedName name="Z_8632DDB0_8CB8_4FCD_96DF_8C34B6F4C6DA_.wvu.Cols" localSheetId="0" hidden="1">'Sample Regression'!$B:$C,'Sample Regression'!$G:$G,'Sample Regression'!$J:$M</definedName>
    <definedName name="Z_B70FD742_4342_40D8_AE52_2B2E43FEFC45_.wvu.Cols" localSheetId="0" hidden="1">'Sample Regression'!$C:$C,'Sample Regression'!$G:$H,'Sample Regression'!$J:$M</definedName>
    <definedName name="Z_B70FD742_4342_40D8_AE52_2B2E43FEFC45_.wvu.FilterData" localSheetId="0" hidden="1">'Sample Regression'!$A$1:$S$28</definedName>
    <definedName name="Z_D756B39F_0040_4C29_9A23_0D6EE33EF6FB_.wvu.Cols" localSheetId="0" hidden="1">'Sample Regression'!$C:$C,'Sample Regression'!$G:$H,'Sample Regression'!$J:$M</definedName>
    <definedName name="Z_D756B39F_0040_4C29_9A23_0D6EE33EF6FB_.wvu.FilterData" localSheetId="0" hidden="1">'Sample Regression'!$A$1:$S$28</definedName>
    <definedName name="Z_FAA7C8B2_8F81_4AF3_BDC3_8B13DD105D6E_.wvu.Cols" localSheetId="0" hidden="1">'Sample Regression'!$C:$C,'Sample Regression'!$G:$H,'Sample Regression'!$J:$M</definedName>
  </definedNames>
  <calcPr calcId="145621"/>
  <customWorkbookViews>
    <customWorkbookView name="Shrivastava, Runal - Personal View" guid="{0569136B-3B59-4622-A5A0-86B031190133}" mergeInterval="0" personalView="1" xWindow="9" yWindow="32" windowWidth="940" windowHeight="813" activeSheetId="3"/>
    <customWorkbookView name="Fabian, Joseph - Personal View" guid="{D756B39F-0040-4C29-9A23-0D6EE33EF6FB}" mergeInterval="0" personalView="1" maximized="1" windowWidth="1920" windowHeight="814" activeSheetId="3"/>
    <customWorkbookView name="Lund, Rehman - Personal View" guid="{B70FD742-4342-40D8-AE52-2B2E43FEFC45}" mergeInterval="0" personalView="1" maximized="1" windowWidth="1741" windowHeight="837" activeSheetId="3"/>
  </customWorkbookViews>
</workbook>
</file>

<file path=xl/calcChain.xml><?xml version="1.0" encoding="utf-8"?>
<calcChain xmlns="http://schemas.openxmlformats.org/spreadsheetml/2006/main">
  <c r="B16" i="2" l="1"/>
  <c r="J6" i="2"/>
  <c r="L26" i="1" l="1"/>
  <c r="M26" i="1" s="1"/>
  <c r="K26" i="1"/>
  <c r="G26" i="1"/>
  <c r="J26" i="1" s="1"/>
  <c r="L25" i="1"/>
  <c r="M25" i="1" s="1"/>
  <c r="K25" i="1"/>
  <c r="G25" i="1"/>
  <c r="J25" i="1" s="1"/>
  <c r="L24" i="1"/>
  <c r="M24" i="1" s="1"/>
  <c r="K24" i="1"/>
  <c r="G24" i="1"/>
  <c r="J24" i="1" s="1"/>
  <c r="L23" i="1"/>
  <c r="M23" i="1" s="1"/>
  <c r="K23" i="1"/>
  <c r="G23" i="1"/>
  <c r="J23" i="1" s="1"/>
  <c r="L22" i="1"/>
  <c r="M22" i="1" s="1"/>
  <c r="K22" i="1"/>
  <c r="G22" i="1"/>
  <c r="J22" i="1" s="1"/>
  <c r="L21" i="1"/>
  <c r="M21" i="1" s="1"/>
  <c r="K21" i="1"/>
  <c r="G21" i="1"/>
  <c r="J21" i="1" s="1"/>
  <c r="L20" i="1"/>
  <c r="M20" i="1" s="1"/>
  <c r="K20" i="1"/>
  <c r="G20" i="1"/>
  <c r="J20" i="1" s="1"/>
  <c r="L19" i="1"/>
  <c r="M19" i="1" s="1"/>
  <c r="K19" i="1"/>
  <c r="J19" i="1"/>
  <c r="G19" i="1"/>
  <c r="L18" i="1"/>
  <c r="M18" i="1" s="1"/>
  <c r="K18" i="1"/>
  <c r="G18" i="1"/>
  <c r="J18" i="1" s="1"/>
  <c r="L17" i="1"/>
  <c r="M17" i="1" s="1"/>
  <c r="K17" i="1"/>
  <c r="G17" i="1"/>
  <c r="J17" i="1" s="1"/>
  <c r="N17" i="1" s="1"/>
  <c r="L16" i="1"/>
  <c r="M16" i="1" s="1"/>
  <c r="K16" i="1"/>
  <c r="G16" i="1"/>
  <c r="J16" i="1" s="1"/>
  <c r="L15" i="1"/>
  <c r="M15" i="1" s="1"/>
  <c r="K15" i="1"/>
  <c r="G15" i="1"/>
  <c r="J15" i="1" s="1"/>
  <c r="Y14" i="1"/>
  <c r="L14" i="1"/>
  <c r="M14" i="1" s="1"/>
  <c r="K14" i="1"/>
  <c r="G14" i="1"/>
  <c r="J14" i="1" s="1"/>
  <c r="L13" i="1"/>
  <c r="M13" i="1" s="1"/>
  <c r="K13" i="1"/>
  <c r="G13" i="1"/>
  <c r="J13" i="1" s="1"/>
  <c r="L12" i="1"/>
  <c r="M12" i="1" s="1"/>
  <c r="K12" i="1"/>
  <c r="G12" i="1"/>
  <c r="J12" i="1" s="1"/>
  <c r="L11" i="1"/>
  <c r="M11" i="1" s="1"/>
  <c r="K11" i="1"/>
  <c r="G11" i="1"/>
  <c r="J11" i="1" s="1"/>
  <c r="L10" i="1"/>
  <c r="M10" i="1" s="1"/>
  <c r="K10" i="1"/>
  <c r="G10" i="1"/>
  <c r="J10" i="1" s="1"/>
  <c r="Y9" i="1"/>
  <c r="L9" i="1"/>
  <c r="M9" i="1" s="1"/>
  <c r="K9" i="1"/>
  <c r="G9" i="1"/>
  <c r="J9" i="1" s="1"/>
  <c r="Y8" i="1"/>
  <c r="Y10" i="1" s="1"/>
  <c r="L8" i="1"/>
  <c r="M8" i="1" s="1"/>
  <c r="K8" i="1"/>
  <c r="G8" i="1"/>
  <c r="J8" i="1" s="1"/>
  <c r="Y7" i="1"/>
  <c r="L7" i="1"/>
  <c r="M7" i="1" s="1"/>
  <c r="K7" i="1"/>
  <c r="G7" i="1"/>
  <c r="J7" i="1" s="1"/>
  <c r="L6" i="1"/>
  <c r="M6" i="1" s="1"/>
  <c r="K6" i="1"/>
  <c r="G6" i="1"/>
  <c r="J6" i="1" s="1"/>
  <c r="L5" i="1"/>
  <c r="M5" i="1" s="1"/>
  <c r="K5" i="1"/>
  <c r="G5" i="1"/>
  <c r="J5" i="1" s="1"/>
  <c r="L4" i="1"/>
  <c r="M4" i="1" s="1"/>
  <c r="K4" i="1"/>
  <c r="G4" i="1"/>
  <c r="J4" i="1" s="1"/>
  <c r="L3" i="1"/>
  <c r="M3" i="1" s="1"/>
  <c r="K3" i="1"/>
  <c r="G3" i="1"/>
  <c r="J3" i="1" s="1"/>
  <c r="L2" i="1"/>
  <c r="M2" i="1" s="1"/>
  <c r="K2" i="1"/>
  <c r="G2" i="1"/>
  <c r="J2" i="1" s="1"/>
  <c r="N10" i="1" l="1"/>
  <c r="N7" i="1"/>
  <c r="N22" i="1"/>
  <c r="N25" i="1"/>
  <c r="N12" i="1"/>
  <c r="P22" i="1"/>
  <c r="O22" i="1"/>
  <c r="N18" i="1"/>
  <c r="N5" i="1"/>
  <c r="N3" i="1"/>
  <c r="N21" i="1"/>
  <c r="N16" i="1"/>
  <c r="N11" i="1"/>
  <c r="N14" i="1"/>
  <c r="N4" i="1"/>
  <c r="N9" i="1"/>
  <c r="N19" i="1"/>
  <c r="P25" i="1"/>
  <c r="O25" i="1"/>
  <c r="P12" i="1"/>
  <c r="O12" i="1"/>
  <c r="N2" i="1"/>
  <c r="P7" i="1"/>
  <c r="O7" i="1"/>
  <c r="R7" i="1" s="1"/>
  <c r="S7" i="1" s="1"/>
  <c r="P17" i="1"/>
  <c r="O17" i="1"/>
  <c r="R17" i="1" s="1"/>
  <c r="S17" i="1" s="1"/>
  <c r="P10" i="1"/>
  <c r="O10" i="1"/>
  <c r="N24" i="1"/>
  <c r="N20" i="1"/>
  <c r="N26" i="1"/>
  <c r="N6" i="1"/>
  <c r="N8" i="1"/>
  <c r="N13" i="1"/>
  <c r="N15" i="1"/>
  <c r="N23" i="1"/>
  <c r="R10" i="1" l="1"/>
  <c r="S10" i="1" s="1"/>
  <c r="P11" i="1"/>
  <c r="O11" i="1"/>
  <c r="P23" i="1"/>
  <c r="O23" i="1"/>
  <c r="P16" i="1"/>
  <c r="O16" i="1"/>
  <c r="R16" i="1" s="1"/>
  <c r="S16" i="1" s="1"/>
  <c r="O15" i="1"/>
  <c r="P15" i="1"/>
  <c r="P19" i="1"/>
  <c r="O19" i="1"/>
  <c r="R19" i="1" s="1"/>
  <c r="S19" i="1" s="1"/>
  <c r="P14" i="1"/>
  <c r="O14" i="1"/>
  <c r="P21" i="1"/>
  <c r="O21" i="1"/>
  <c r="R21" i="1" s="1"/>
  <c r="S21" i="1" s="1"/>
  <c r="P13" i="1"/>
  <c r="O13" i="1"/>
  <c r="R13" i="1" s="1"/>
  <c r="S13" i="1" s="1"/>
  <c r="P2" i="1"/>
  <c r="O2" i="1"/>
  <c r="R2" i="1" s="1"/>
  <c r="S2" i="1" s="1"/>
  <c r="O3" i="1"/>
  <c r="R3" i="1" s="1"/>
  <c r="S3" i="1" s="1"/>
  <c r="P3" i="1"/>
  <c r="R12" i="1"/>
  <c r="S12" i="1" s="1"/>
  <c r="P5" i="1"/>
  <c r="O5" i="1"/>
  <c r="R5" i="1" s="1"/>
  <c r="S5" i="1" s="1"/>
  <c r="P18" i="1"/>
  <c r="O18" i="1"/>
  <c r="P24" i="1"/>
  <c r="O24" i="1"/>
  <c r="P9" i="1"/>
  <c r="O9" i="1"/>
  <c r="R9" i="1" s="1"/>
  <c r="S9" i="1" s="1"/>
  <c r="P4" i="1"/>
  <c r="O4" i="1"/>
  <c r="R4" i="1" s="1"/>
  <c r="S4" i="1" s="1"/>
  <c r="P8" i="1"/>
  <c r="O8" i="1"/>
  <c r="R8" i="1" s="1"/>
  <c r="S8" i="1" s="1"/>
  <c r="P6" i="1"/>
  <c r="O6" i="1"/>
  <c r="P26" i="1"/>
  <c r="O26" i="1"/>
  <c r="P20" i="1"/>
  <c r="O20" i="1"/>
  <c r="R20" i="1" s="1"/>
  <c r="S20" i="1" s="1"/>
  <c r="R6" i="1" l="1"/>
  <c r="S6" i="1" s="1"/>
  <c r="R11" i="1"/>
  <c r="S11" i="1" s="1"/>
  <c r="R14" i="1"/>
  <c r="S14" i="1" s="1"/>
  <c r="R15" i="1"/>
  <c r="S15" i="1" s="1"/>
  <c r="R18" i="1"/>
  <c r="S18" i="1" s="1"/>
</calcChain>
</file>

<file path=xl/comments1.xml><?xml version="1.0" encoding="utf-8"?>
<comments xmlns="http://schemas.openxmlformats.org/spreadsheetml/2006/main">
  <authors>
    <author>Shrivastava, Runal</author>
  </authors>
  <commentList>
    <comment ref="Q6" authorId="0">
      <text>
        <r>
          <rPr>
            <b/>
            <sz val="9"/>
            <color indexed="81"/>
            <rFont val="Tahoma"/>
            <charset val="1"/>
          </rPr>
          <t>Shrivastava, Runal:</t>
        </r>
        <r>
          <rPr>
            <sz val="9"/>
            <color indexed="81"/>
            <rFont val="Tahoma"/>
            <charset val="1"/>
          </rPr>
          <t xml:space="preserve">
Impact of Dam may cause deviation
</t>
        </r>
      </text>
    </comment>
    <comment ref="Q20" authorId="0">
      <text>
        <r>
          <rPr>
            <b/>
            <sz val="9"/>
            <color indexed="81"/>
            <rFont val="Tahoma"/>
            <charset val="1"/>
          </rPr>
          <t>Shrivastava, Runal:</t>
        </r>
        <r>
          <rPr>
            <sz val="9"/>
            <color indexed="81"/>
            <rFont val="Tahoma"/>
            <charset val="1"/>
          </rPr>
          <t xml:space="preserve">
Dam may impact</t>
        </r>
      </text>
    </comment>
    <comment ref="Q21" authorId="0">
      <text>
        <r>
          <rPr>
            <b/>
            <sz val="9"/>
            <color indexed="81"/>
            <rFont val="Tahoma"/>
            <charset val="1"/>
          </rPr>
          <t>Shrivastava, Runal:</t>
        </r>
        <r>
          <rPr>
            <sz val="9"/>
            <color indexed="81"/>
            <rFont val="Tahoma"/>
            <charset val="1"/>
          </rPr>
          <t xml:space="preserve">
Dam may impact</t>
        </r>
      </text>
    </comment>
  </commentList>
</comments>
</file>

<file path=xl/sharedStrings.xml><?xml version="1.0" encoding="utf-8"?>
<sst xmlns="http://schemas.openxmlformats.org/spreadsheetml/2006/main" count="147" uniqueCount="82">
  <si>
    <t>FID</t>
  </si>
  <si>
    <t>Model Name</t>
  </si>
  <si>
    <t>Junction Name</t>
  </si>
  <si>
    <t>A​ (sq mi)</t>
  </si>
  <si>
    <t>OmegaEM​</t>
  </si>
  <si>
    <t>P (mm)</t>
  </si>
  <si>
    <t>P(in)</t>
  </si>
  <si>
    <t>main channel distance</t>
  </si>
  <si>
    <t>S​</t>
  </si>
  <si>
    <t>P^1.071</t>
  </si>
  <si>
    <t>S^0.507</t>
  </si>
  <si>
    <t>0.969*Omega+10.82-8.448*</t>
  </si>
  <si>
    <t>10^I</t>
  </si>
  <si>
    <t>Q100</t>
  </si>
  <si>
    <t>1% minus</t>
  </si>
  <si>
    <t>1% Plus</t>
  </si>
  <si>
    <t>Model</t>
  </si>
  <si>
    <t>L/O/H</t>
  </si>
  <si>
    <t>Amount</t>
  </si>
  <si>
    <t>%upper</t>
  </si>
  <si>
    <t>SCON03</t>
  </si>
  <si>
    <t>CN_SConcho_J30​​</t>
  </si>
  <si>
    <t>CN_SConcho_J35​​</t>
  </si>
  <si>
    <t>CN_SConcho_J49​​</t>
  </si>
  <si>
    <t>CN_SConcho_J40​​</t>
  </si>
  <si>
    <t>SCON01</t>
  </si>
  <si>
    <t>CN_SConcho_J20​​</t>
  </si>
  <si>
    <t>station 1</t>
  </si>
  <si>
    <t>Stretched value</t>
  </si>
  <si>
    <t>staion 2</t>
  </si>
  <si>
    <t>Pixel value</t>
  </si>
  <si>
    <t>SCON02</t>
  </si>
  <si>
    <t>CN_SConcho_J10</t>
  </si>
  <si>
    <t>distance</t>
  </si>
  <si>
    <t>CONC01</t>
  </si>
  <si>
    <t>CN_KickapooCr_J10</t>
  </si>
  <si>
    <t>CONC02</t>
  </si>
  <si>
    <t>S (ft/mi)</t>
  </si>
  <si>
    <t>S (ft/ft)</t>
  </si>
  <si>
    <t>CN_Concho_J50</t>
  </si>
  <si>
    <t>CN_Concho_J30</t>
  </si>
  <si>
    <t>CN_Concho_J20</t>
  </si>
  <si>
    <t>CN_Nconcho_J100</t>
  </si>
  <si>
    <t>NCON</t>
  </si>
  <si>
    <t>Not modeled yet</t>
  </si>
  <si>
    <t>P (in)</t>
  </si>
  <si>
    <t>S</t>
  </si>
  <si>
    <t>OmegaEM</t>
  </si>
  <si>
    <t>Drainage Area (A) in sq mi</t>
  </si>
  <si>
    <r>
      <rPr>
        <u/>
        <sz val="11"/>
        <rFont val="Calibri"/>
        <family val="2"/>
        <scheme val="minor"/>
      </rPr>
      <t xml:space="preserve">source: </t>
    </r>
    <r>
      <rPr>
        <u/>
        <sz val="11"/>
        <color theme="10"/>
        <rFont val="Calibri"/>
        <family val="2"/>
        <scheme val="minor"/>
      </rPr>
      <t>https://mghydro.com/watersheds/</t>
    </r>
  </si>
  <si>
    <t>Step 1</t>
  </si>
  <si>
    <t>Step 2</t>
  </si>
  <si>
    <t>Get the latitute and longitude of the point</t>
  </si>
  <si>
    <t>A (sq mi)</t>
  </si>
  <si>
    <t>Find the OmegaEM for the location</t>
  </si>
  <si>
    <t>Step 3</t>
  </si>
  <si>
    <t>Step 4</t>
  </si>
  <si>
    <t>Step 5</t>
  </si>
  <si>
    <t>Find the main channel slope</t>
  </si>
  <si>
    <t>Find the mean annual precip value in inches</t>
  </si>
  <si>
    <t>Coordinates</t>
  </si>
  <si>
    <t>-100.954940,  31.120349</t>
  </si>
  <si>
    <t>Work Area</t>
  </si>
  <si>
    <t>FID_0</t>
  </si>
  <si>
    <t>FID_1</t>
  </si>
  <si>
    <t>FID_2</t>
  </si>
  <si>
    <t>FID_3</t>
  </si>
  <si>
    <t>FID_4</t>
  </si>
  <si>
    <t>FID_5</t>
  </si>
  <si>
    <t>FID_6</t>
  </si>
  <si>
    <t>FID_7</t>
  </si>
  <si>
    <t>FID_8</t>
  </si>
  <si>
    <t>MOSEDR01</t>
  </si>
  <si>
    <t>FID_9</t>
  </si>
  <si>
    <t>FID_10</t>
  </si>
  <si>
    <t>FID_11</t>
  </si>
  <si>
    <t>Identifier</t>
  </si>
  <si>
    <t>Flow</t>
  </si>
  <si>
    <t>Drainage Area (sqmi)</t>
  </si>
  <si>
    <t>MOSEDR02</t>
  </si>
  <si>
    <t>Lower limit</t>
  </si>
  <si>
    <t>Upper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</si>
</sst>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00"/>
    <numFmt numFmtId="165" formatCode="0.0000000"/>
    <numFmt numFmtId="166" formatCode="0.000"/>
    <numFmt numFmtId="167" formatCode="0.000000"/>
    <numFmt numFmtId="168" formatCode="0.0000000000000"/>
    <numFmt numFmtId="169" formatCode="0.0000000000000000"/>
    <numFmt numFmtId="170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9"/>
      <color rgb="FFFFFFFF"/>
      <name val="Calibri"/>
      <family val="2"/>
    </font>
    <font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name val="Arial"/>
      <family val="2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4472C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/>
      <top style="thin">
        <color theme="4" tint="0.39997558519241921"/>
      </top>
      <bottom/>
      <diagonal/>
    </border>
    <border>
      <left style="medium">
        <color rgb="FFFFFFFF"/>
      </left>
      <right/>
      <top style="thin">
        <color theme="4" tint="0.39997558519241921"/>
      </top>
      <bottom/>
      <diagonal/>
    </border>
    <border>
      <left style="medium">
        <color rgb="FFFFFFFF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7" fillId="0" borderId="0"/>
    <xf numFmtId="0" fontId="8" fillId="0" borderId="0"/>
    <xf numFmtId="0" fontId="1" fillId="2" borderId="1" applyNumberFormat="0" applyFont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7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16" applyNumberFormat="0" applyAlignment="0" applyProtection="0"/>
    <xf numFmtId="0" fontId="22" fillId="10" borderId="17" applyNumberFormat="0" applyAlignment="0" applyProtection="0"/>
    <xf numFmtId="0" fontId="23" fillId="10" borderId="16" applyNumberFormat="0" applyAlignment="0" applyProtection="0"/>
    <xf numFmtId="0" fontId="24" fillId="0" borderId="18" applyNumberFormat="0" applyFill="0" applyAlignment="0" applyProtection="0"/>
    <xf numFmtId="0" fontId="25" fillId="11" borderId="19" applyNumberFormat="0" applyAlignment="0" applyProtection="0"/>
    <xf numFmtId="0" fontId="26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7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2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8" fillId="35" borderId="0" applyNumberFormat="0" applyBorder="0" applyAlignment="0" applyProtection="0"/>
  </cellStyleXfs>
  <cellXfs count="69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1" fontId="4" fillId="4" borderId="6" xfId="0" applyNumberFormat="1" applyFont="1" applyFill="1" applyBorder="1" applyAlignment="1">
      <alignment horizontal="center"/>
    </xf>
    <xf numFmtId="2" fontId="4" fillId="4" borderId="6" xfId="0" applyNumberFormat="1" applyFont="1" applyFill="1" applyBorder="1" applyAlignment="1">
      <alignment horizontal="center"/>
    </xf>
    <xf numFmtId="164" fontId="4" fillId="4" borderId="5" xfId="0" applyNumberFormat="1" applyFont="1" applyFill="1" applyBorder="1" applyAlignment="1">
      <alignment horizontal="center"/>
    </xf>
    <xf numFmtId="1" fontId="4" fillId="4" borderId="5" xfId="0" applyNumberFormat="1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1" fontId="4" fillId="4" borderId="7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2" fontId="4" fillId="4" borderId="7" xfId="0" applyNumberFormat="1" applyFont="1" applyFill="1" applyBorder="1" applyAlignment="1">
      <alignment horizontal="center"/>
    </xf>
    <xf numFmtId="164" fontId="4" fillId="4" borderId="8" xfId="0" applyNumberFormat="1" applyFont="1" applyFill="1" applyBorder="1" applyAlignment="1">
      <alignment horizontal="center"/>
    </xf>
    <xf numFmtId="1" fontId="4" fillId="4" borderId="8" xfId="0" applyNumberFormat="1" applyFont="1" applyFill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4" fillId="4" borderId="0" xfId="0" applyNumberFormat="1" applyFont="1" applyFill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167" fontId="4" fillId="0" borderId="7" xfId="0" applyNumberFormat="1" applyFont="1" applyBorder="1" applyAlignment="1">
      <alignment horizontal="center"/>
    </xf>
    <xf numFmtId="165" fontId="4" fillId="4" borderId="7" xfId="0" applyNumberFormat="1" applyFont="1" applyFill="1" applyBorder="1" applyAlignment="1">
      <alignment horizontal="center"/>
    </xf>
    <xf numFmtId="166" fontId="4" fillId="4" borderId="7" xfId="0" applyNumberFormat="1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" fontId="4" fillId="4" borderId="9" xfId="0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6" fontId="4" fillId="0" borderId="11" xfId="0" applyNumberFormat="1" applyFont="1" applyBorder="1" applyAlignment="1">
      <alignment horizontal="center"/>
    </xf>
    <xf numFmtId="167" fontId="4" fillId="0" borderId="11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9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10" fillId="0" borderId="0" xfId="4" applyAlignment="1">
      <alignment wrapText="1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0" fontId="0" fillId="0" borderId="0" xfId="0" quotePrefix="1"/>
    <xf numFmtId="4" fontId="0" fillId="0" borderId="0" xfId="0" applyNumberFormat="1"/>
    <xf numFmtId="0" fontId="9" fillId="0" borderId="0" xfId="0" applyFont="1" applyAlignment="1">
      <alignment horizontal="center"/>
    </xf>
    <xf numFmtId="1" fontId="12" fillId="5" borderId="7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13" fillId="0" borderId="0" xfId="0" applyFont="1"/>
    <xf numFmtId="168" fontId="4" fillId="4" borderId="7" xfId="0" applyNumberFormat="1" applyFont="1" applyFill="1" applyBorder="1" applyAlignment="1">
      <alignment horizontal="center"/>
    </xf>
    <xf numFmtId="169" fontId="4" fillId="4" borderId="7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170" fontId="0" fillId="36" borderId="0" xfId="0" applyNumberFormat="1" applyFill="1" applyAlignment="1">
      <alignment horizontal="center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4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1"/>
    <cellStyle name="Normal 3" xfId="2"/>
    <cellStyle name="Note" xfId="19" builtinId="10" customBuiltin="1"/>
    <cellStyle name="Note 2" xfId="3"/>
    <cellStyle name="Output" xfId="14" builtinId="21" customBuiltin="1"/>
    <cellStyle name="Title" xfId="5" builtinId="15" customBuiltin="1"/>
    <cellStyle name="Total" xfId="21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228600</xdr:colOff>
      <xdr:row>0</xdr:row>
      <xdr:rowOff>104775</xdr:rowOff>
    </xdr:from>
    <xdr:to>
      <xdr:col>27</xdr:col>
      <xdr:colOff>104775</xdr:colOff>
      <xdr:row>1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8025" y="104775"/>
          <a:ext cx="67627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0</xdr:rowOff>
    </xdr:from>
    <xdr:to>
      <xdr:col>10</xdr:col>
      <xdr:colOff>542925</xdr:colOff>
      <xdr:row>2</xdr:row>
      <xdr:rowOff>95250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733425"/>
          <a:ext cx="67627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mghydro.com/watersheds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4"/>
  <sheetViews>
    <sheetView topLeftCell="A13" workbookViewId="0">
      <selection activeCell="F2" sqref="F2"/>
    </sheetView>
  </sheetViews>
  <sheetFormatPr defaultRowHeight="15" x14ac:dyDescent="0.25"/>
  <cols>
    <col min="1" max="2" width="13.7109375" style="6" customWidth="1"/>
    <col min="3" max="3" width="30" style="6" hidden="1" customWidth="1"/>
    <col min="4" max="4" width="20.85546875" style="6" customWidth="1"/>
    <col min="5" max="5" width="16" style="6" customWidth="1"/>
    <col min="6" max="6" width="17.28515625" style="6" customWidth="1"/>
    <col min="7" max="8" width="17.5703125" style="6" hidden="1" customWidth="1"/>
    <col min="9" max="9" width="17.7109375" style="6" customWidth="1"/>
    <col min="10" max="10" width="14.140625" style="6" hidden="1" customWidth="1"/>
    <col min="11" max="11" width="13.140625" style="6" hidden="1" customWidth="1"/>
    <col min="12" max="12" width="38.5703125" style="6" hidden="1" customWidth="1"/>
    <col min="13" max="13" width="19.5703125" style="6" hidden="1" customWidth="1"/>
    <col min="14" max="14" width="19.5703125" style="6" bestFit="1" customWidth="1"/>
    <col min="15" max="19" width="19.5703125" style="6" customWidth="1"/>
    <col min="20" max="20" width="7.7109375" style="6" bestFit="1" customWidth="1"/>
    <col min="21" max="21" width="9.140625" style="6"/>
    <col min="22" max="22" width="14.7109375" style="6" customWidth="1"/>
    <col min="23" max="23" width="18.42578125" style="6" bestFit="1" customWidth="1"/>
    <col min="24" max="26" width="14.7109375" style="6" customWidth="1"/>
    <col min="27" max="16384" width="9.140625" style="6"/>
  </cols>
  <sheetData>
    <row r="1" spans="1:29" ht="42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U1" s="6" t="s">
        <v>19</v>
      </c>
    </row>
    <row r="2" spans="1:29" s="15" customFormat="1" ht="15.75" x14ac:dyDescent="0.25">
      <c r="A2" s="7">
        <v>0</v>
      </c>
      <c r="B2" s="8" t="s">
        <v>20</v>
      </c>
      <c r="C2" s="8" t="s">
        <v>21</v>
      </c>
      <c r="D2" s="8">
        <v>190</v>
      </c>
      <c r="E2" s="8">
        <v>2.5000000000000001E-2</v>
      </c>
      <c r="F2" s="9">
        <v>506</v>
      </c>
      <c r="G2" s="10">
        <f>'Sample Regression'!$F2/25.4</f>
        <v>19.921259842519685</v>
      </c>
      <c r="H2" s="10"/>
      <c r="I2" s="11">
        <v>2.5249999999999999E-3</v>
      </c>
      <c r="J2" s="8">
        <f>'Sample Regression'!$G2^1.071</f>
        <v>24.635892084747503</v>
      </c>
      <c r="K2" s="8">
        <f>'Sample Regression'!$I2^0.507</f>
        <v>4.8188845414620284E-2</v>
      </c>
      <c r="L2" s="8">
        <f>0.969*'Sample Regression'!$E2+10.82-8.448*'Sample Regression'!$D2^(-0.0467)</f>
        <v>4.2321752588263406</v>
      </c>
      <c r="M2" s="8">
        <f>10^'Sample Regression'!$L2</f>
        <v>17067.710146923873</v>
      </c>
      <c r="N2" s="9">
        <f>'Sample Regression'!$J2*'Sample Regression'!$K2*'Sample Regression'!$M2</f>
        <v>20262.362127393513</v>
      </c>
      <c r="O2" s="12">
        <f>10^(LOG10(N2)-0.3)</f>
        <v>10155.237221382371</v>
      </c>
      <c r="P2" s="9">
        <f>10^(LOG10(N2)+0.3)</f>
        <v>40428.727565040936</v>
      </c>
      <c r="Q2" s="13">
        <v>5940</v>
      </c>
      <c r="R2" s="13" t="str">
        <f t="shared" ref="R2:R21" si="0">IF(Q2&lt;O2, "LOW", IF(Q2&gt;P2, "HIGH", "OK"))</f>
        <v>LOW</v>
      </c>
      <c r="S2" s="14">
        <f t="shared" ref="S2:S21" si="1">IF(R2="LOW", O2-Q2, IF(R2="HIGH", Q2-P2, IF(R2="OK", "", IF(Q2="", "", "ERROR"))))</f>
        <v>4215.237221382371</v>
      </c>
    </row>
    <row r="3" spans="1:29" s="15" customFormat="1" ht="15.75" x14ac:dyDescent="0.25">
      <c r="A3" s="16">
        <v>1</v>
      </c>
      <c r="B3" s="17" t="s">
        <v>20</v>
      </c>
      <c r="C3" s="17" t="s">
        <v>22</v>
      </c>
      <c r="D3" s="17">
        <v>420</v>
      </c>
      <c r="E3" s="17">
        <v>-1E-3</v>
      </c>
      <c r="F3" s="18">
        <v>517</v>
      </c>
      <c r="G3" s="19">
        <f>'Sample Regression'!$F3/25.4</f>
        <v>20.354330708661418</v>
      </c>
      <c r="H3" s="19"/>
      <c r="I3" s="20">
        <v>2.519E-3</v>
      </c>
      <c r="J3" s="17">
        <f>'Sample Regression'!$G3^1.071</f>
        <v>25.209919631113724</v>
      </c>
      <c r="K3" s="17">
        <f>'Sample Regression'!$I3^0.507</f>
        <v>4.8130755737899204E-2</v>
      </c>
      <c r="L3" s="17">
        <f>0.969*'Sample Regression'!$E3+10.82-8.448*'Sample Regression'!$D3^(-0.0467)</f>
        <v>4.4474359920899103</v>
      </c>
      <c r="M3" s="17">
        <f>10^'Sample Regression'!$L3</f>
        <v>28017.926527804389</v>
      </c>
      <c r="N3" s="18">
        <f>'Sample Regression'!$J3*'Sample Regression'!$K3*'Sample Regression'!$M3</f>
        <v>33996.181105812109</v>
      </c>
      <c r="O3" s="21">
        <f t="shared" ref="O3:O26" si="2">10^(LOG10(N3)-0.3)</f>
        <v>17038.451962313764</v>
      </c>
      <c r="P3" s="18">
        <f t="shared" ref="P3:P26" si="3">10^(LOG10(N3)+0.3)</f>
        <v>67831.299013284006</v>
      </c>
      <c r="Q3" s="17">
        <v>10927</v>
      </c>
      <c r="R3" s="17" t="str">
        <f t="shared" si="0"/>
        <v>LOW</v>
      </c>
      <c r="S3" s="18">
        <f t="shared" si="1"/>
        <v>6111.4519623137639</v>
      </c>
    </row>
    <row r="4" spans="1:29" s="15" customFormat="1" ht="15.75" x14ac:dyDescent="0.25">
      <c r="A4" s="22">
        <v>2</v>
      </c>
      <c r="B4" s="13" t="s">
        <v>20</v>
      </c>
      <c r="C4" s="13" t="s">
        <v>23</v>
      </c>
      <c r="D4" s="13">
        <v>250</v>
      </c>
      <c r="E4" s="13">
        <v>-1E-3</v>
      </c>
      <c r="F4" s="14">
        <v>535</v>
      </c>
      <c r="G4" s="23">
        <f>'Sample Regression'!$F4/25.4</f>
        <v>21.062992125984252</v>
      </c>
      <c r="H4" s="23"/>
      <c r="I4" s="24">
        <v>2.8609999999999998E-3</v>
      </c>
      <c r="J4" s="13">
        <f>'Sample Regression'!$G4^1.071</f>
        <v>26.151101723608821</v>
      </c>
      <c r="K4" s="13">
        <f>'Sample Regression'!$I4^0.507</f>
        <v>5.1339845088337867E-2</v>
      </c>
      <c r="L4" s="13">
        <f>0.969*'Sample Regression'!$E4+10.82-8.448*'Sample Regression'!$D4^(-0.0467)</f>
        <v>4.2911818966451367</v>
      </c>
      <c r="M4" s="13">
        <f>10^'Sample Regression'!$L4</f>
        <v>19551.581681021577</v>
      </c>
      <c r="N4" s="14">
        <f>'Sample Regression'!$J4*'Sample Regression'!$K4*'Sample Regression'!$M4</f>
        <v>26249.826702144735</v>
      </c>
      <c r="O4" s="25">
        <f t="shared" si="2"/>
        <v>13156.078028043234</v>
      </c>
      <c r="P4" s="14">
        <f t="shared" si="3"/>
        <v>52375.289993253231</v>
      </c>
      <c r="Q4" s="13">
        <v>6155</v>
      </c>
      <c r="R4" s="13" t="str">
        <f t="shared" si="0"/>
        <v>LOW</v>
      </c>
      <c r="S4" s="14">
        <f t="shared" si="1"/>
        <v>7001.0780280432336</v>
      </c>
    </row>
    <row r="5" spans="1:29" s="15" customFormat="1" ht="15.75" x14ac:dyDescent="0.25">
      <c r="A5" s="16">
        <v>3</v>
      </c>
      <c r="B5" s="17" t="s">
        <v>20</v>
      </c>
      <c r="C5" s="17" t="s">
        <v>24</v>
      </c>
      <c r="D5" s="17">
        <v>230</v>
      </c>
      <c r="E5" s="17">
        <v>-1E-3</v>
      </c>
      <c r="F5" s="18">
        <v>527</v>
      </c>
      <c r="G5" s="19">
        <f>'Sample Regression'!$F5/25.4</f>
        <v>20.748031496062993</v>
      </c>
      <c r="H5" s="19"/>
      <c r="I5" s="20">
        <v>2.9369999999999999E-3</v>
      </c>
      <c r="J5" s="17">
        <f>'Sample Regression'!$G5^1.071</f>
        <v>25.732516409337208</v>
      </c>
      <c r="K5" s="17">
        <f>'Sample Regression'!$I5^0.507</f>
        <v>5.2026822308065171E-2</v>
      </c>
      <c r="L5" s="17">
        <f>0.969*'Sample Regression'!$E5+10.82-8.448*'Sample Regression'!$D5^(-0.0467)</f>
        <v>4.265713413086984</v>
      </c>
      <c r="M5" s="17">
        <f>10^'Sample Regression'!$L5</f>
        <v>18437.983121868103</v>
      </c>
      <c r="N5" s="18">
        <f>'Sample Regression'!$J5*'Sample Regression'!$K5*'Sample Regression'!$M5</f>
        <v>24684.42256544032</v>
      </c>
      <c r="O5" s="21">
        <f t="shared" si="2"/>
        <v>12371.517459259647</v>
      </c>
      <c r="P5" s="18">
        <f t="shared" si="3"/>
        <v>49251.898111590468</v>
      </c>
      <c r="Q5" s="17">
        <v>5254</v>
      </c>
      <c r="R5" s="17" t="str">
        <f t="shared" si="0"/>
        <v>LOW</v>
      </c>
      <c r="S5" s="18">
        <f t="shared" si="1"/>
        <v>7117.5174592596468</v>
      </c>
    </row>
    <row r="6" spans="1:29" s="15" customFormat="1" ht="15.75" x14ac:dyDescent="0.25">
      <c r="A6" s="22">
        <v>4</v>
      </c>
      <c r="B6" s="13" t="s">
        <v>25</v>
      </c>
      <c r="C6" s="13"/>
      <c r="D6" s="13">
        <v>490</v>
      </c>
      <c r="E6" s="13">
        <v>-1E-3</v>
      </c>
      <c r="F6" s="14">
        <v>547.92400242971996</v>
      </c>
      <c r="G6" s="23">
        <f>'Sample Regression'!$F6/25.4</f>
        <v>21.571811119280316</v>
      </c>
      <c r="H6" s="23"/>
      <c r="I6" s="24">
        <v>2.5340909090909094E-3</v>
      </c>
      <c r="J6" s="13">
        <f>'Sample Regression'!$G6^1.071</f>
        <v>26.828263192166066</v>
      </c>
      <c r="K6" s="13">
        <f>'Sample Regression'!$I6^0.507</f>
        <v>4.8276730564901997E-2</v>
      </c>
      <c r="L6" s="13">
        <f>0.969*'Sample Regression'!$E6+10.82-8.448*'Sample Regression'!$D6^(-0.0467)</f>
        <v>4.4931393614537658</v>
      </c>
      <c r="M6" s="13">
        <f>10^'Sample Regression'!$L6</f>
        <v>31127.150209848547</v>
      </c>
      <c r="N6" s="14">
        <f>'Sample Regression'!$J6*'Sample Regression'!$K6*'Sample Regression'!$M6</f>
        <v>40315.288358017569</v>
      </c>
      <c r="O6" s="25">
        <f t="shared" si="2"/>
        <v>20205.507845040633</v>
      </c>
      <c r="P6" s="14">
        <f t="shared" si="3"/>
        <v>80439.575577856143</v>
      </c>
      <c r="Q6" s="13">
        <v>27492</v>
      </c>
      <c r="R6" s="13" t="str">
        <f t="shared" si="0"/>
        <v>OK</v>
      </c>
      <c r="S6" s="14" t="str">
        <f t="shared" si="1"/>
        <v/>
      </c>
    </row>
    <row r="7" spans="1:29" s="15" customFormat="1" ht="15.75" x14ac:dyDescent="0.25">
      <c r="A7" s="16">
        <v>5</v>
      </c>
      <c r="B7" s="17" t="s">
        <v>25</v>
      </c>
      <c r="C7" s="17" t="s">
        <v>26</v>
      </c>
      <c r="D7" s="17">
        <v>410</v>
      </c>
      <c r="E7" s="17">
        <v>-1E-3</v>
      </c>
      <c r="F7" s="18">
        <v>547.83334784134001</v>
      </c>
      <c r="G7" s="19">
        <f>'Sample Regression'!$F7/25.4</f>
        <v>21.568242040997639</v>
      </c>
      <c r="H7" s="19"/>
      <c r="I7" s="20">
        <v>4.250987985930172E-3</v>
      </c>
      <c r="J7" s="17">
        <f>'Sample Regression'!$G7^1.071</f>
        <v>26.823509304197682</v>
      </c>
      <c r="K7" s="17">
        <f>'Sample Regression'!$I7^0.507</f>
        <v>6.2754426923141413E-2</v>
      </c>
      <c r="L7" s="17">
        <f>0.969*'Sample Regression'!$E7+10.82-8.448*'Sample Regression'!$D7^(-0.0467)</f>
        <v>4.4402616455039299</v>
      </c>
      <c r="M7" s="17">
        <f>10^'Sample Regression'!$L7</f>
        <v>27558.885187557687</v>
      </c>
      <c r="N7" s="18">
        <f>'Sample Regression'!$J7*'Sample Regression'!$K7*'Sample Regression'!$M7</f>
        <v>46389.704827665781</v>
      </c>
      <c r="O7" s="21">
        <f t="shared" si="2"/>
        <v>23249.927831363537</v>
      </c>
      <c r="P7" s="18">
        <f t="shared" si="3"/>
        <v>92559.629845171425</v>
      </c>
      <c r="Q7" s="17">
        <v>62247</v>
      </c>
      <c r="R7" s="17" t="str">
        <f t="shared" si="0"/>
        <v>OK</v>
      </c>
      <c r="S7" s="18" t="str">
        <f t="shared" si="1"/>
        <v/>
      </c>
      <c r="X7" s="15" t="s">
        <v>27</v>
      </c>
      <c r="Y7" s="15">
        <f>AC8</f>
        <v>1957.96875</v>
      </c>
      <c r="AB7" s="15" t="s">
        <v>28</v>
      </c>
      <c r="AC7" s="15">
        <v>69</v>
      </c>
    </row>
    <row r="8" spans="1:29" s="15" customFormat="1" ht="15.75" x14ac:dyDescent="0.25">
      <c r="A8" s="22">
        <v>6</v>
      </c>
      <c r="B8" s="13" t="s">
        <v>25</v>
      </c>
      <c r="C8" s="13"/>
      <c r="D8" s="13">
        <v>80</v>
      </c>
      <c r="E8" s="13">
        <v>-1E-3</v>
      </c>
      <c r="F8" s="14">
        <v>567.62184132245</v>
      </c>
      <c r="G8" s="23">
        <f>'Sample Regression'!$F8/25.4</f>
        <v>22.347316587498032</v>
      </c>
      <c r="H8" s="23"/>
      <c r="I8" s="24">
        <v>3.7052423825258102E-3</v>
      </c>
      <c r="J8" s="13">
        <f>'Sample Regression'!$G8^1.071</f>
        <v>27.862519384966145</v>
      </c>
      <c r="K8" s="13">
        <f>'Sample Regression'!$I8^0.507</f>
        <v>5.8531550390714789E-2</v>
      </c>
      <c r="L8" s="13">
        <f>0.969*'Sample Regression'!$E8+10.82-8.448*'Sample Regression'!$D8^(-0.0467)</f>
        <v>3.9344168869360416</v>
      </c>
      <c r="M8" s="13">
        <f>10^'Sample Regression'!$L8</f>
        <v>8598.3849963364592</v>
      </c>
      <c r="N8" s="14">
        <f>'Sample Regression'!$J8*'Sample Regression'!$K8*'Sample Regression'!$M8</f>
        <v>14022.559726730031</v>
      </c>
      <c r="O8" s="25">
        <f t="shared" si="2"/>
        <v>7027.9279178130373</v>
      </c>
      <c r="P8" s="14">
        <f t="shared" si="3"/>
        <v>27978.684982144736</v>
      </c>
      <c r="Q8" s="13">
        <v>50605</v>
      </c>
      <c r="R8" s="13" t="str">
        <f t="shared" si="0"/>
        <v>HIGH</v>
      </c>
      <c r="S8" s="14">
        <f t="shared" si="1"/>
        <v>22626.315017855264</v>
      </c>
      <c r="X8" s="15" t="s">
        <v>29</v>
      </c>
      <c r="Y8" s="15">
        <f>AC11</f>
        <v>2516.96875</v>
      </c>
      <c r="AB8" s="15" t="s">
        <v>30</v>
      </c>
      <c r="AC8" s="15">
        <v>1957.96875</v>
      </c>
    </row>
    <row r="9" spans="1:29" s="15" customFormat="1" ht="15.75" x14ac:dyDescent="0.25">
      <c r="A9" s="16">
        <v>7</v>
      </c>
      <c r="B9" s="17" t="s">
        <v>31</v>
      </c>
      <c r="C9" s="17" t="s">
        <v>32</v>
      </c>
      <c r="D9" s="17">
        <v>160</v>
      </c>
      <c r="E9" s="17">
        <v>0.21099999999999999</v>
      </c>
      <c r="F9" s="18">
        <v>537</v>
      </c>
      <c r="G9" s="19">
        <f>'Sample Regression'!$F9/25.4</f>
        <v>21.141732283464567</v>
      </c>
      <c r="H9" s="19"/>
      <c r="I9" s="20">
        <v>2.3936556099999999E-3</v>
      </c>
      <c r="J9" s="17">
        <f>'Sample Regression'!$G9^1.071</f>
        <v>26.255817770628848</v>
      </c>
      <c r="K9" s="17">
        <f>'Sample Regression'!$I9^0.507</f>
        <v>4.6901233483075899E-2</v>
      </c>
      <c r="L9" s="17">
        <f>0.969*'Sample Regression'!$E9+10.82-8.448*'Sample Regression'!$D9^(-0.0467)</f>
        <v>4.3591313661289641</v>
      </c>
      <c r="M9" s="17">
        <f>10^'Sample Regression'!$L9</f>
        <v>22862.902597359462</v>
      </c>
      <c r="N9" s="18">
        <f>'Sample Regression'!$J9*'Sample Regression'!$K9*'Sample Regression'!$M9</f>
        <v>28154.06962225998</v>
      </c>
      <c r="O9" s="21">
        <f t="shared" si="2"/>
        <v>14110.460269330133</v>
      </c>
      <c r="P9" s="18">
        <f t="shared" si="3"/>
        <v>56174.75413030546</v>
      </c>
      <c r="Q9" s="18">
        <v>28154.069622260002</v>
      </c>
      <c r="R9" s="17" t="str">
        <f t="shared" si="0"/>
        <v>OK</v>
      </c>
      <c r="S9" s="18" t="str">
        <f t="shared" si="1"/>
        <v/>
      </c>
      <c r="U9" s="26"/>
      <c r="X9" s="15" t="s">
        <v>33</v>
      </c>
      <c r="Y9" s="27">
        <f>H24</f>
        <v>110344.3</v>
      </c>
      <c r="Z9" s="27"/>
    </row>
    <row r="10" spans="1:29" s="15" customFormat="1" ht="15.75" x14ac:dyDescent="0.25">
      <c r="A10" s="22">
        <v>8</v>
      </c>
      <c r="B10" s="13" t="s">
        <v>34</v>
      </c>
      <c r="C10" s="13" t="s">
        <v>35</v>
      </c>
      <c r="D10" s="13">
        <v>140</v>
      </c>
      <c r="E10" s="13">
        <v>-1E-3</v>
      </c>
      <c r="F10" s="14">
        <v>601.44730873108006</v>
      </c>
      <c r="G10" s="23">
        <f>'Sample Regression'!$F10/25.4</f>
        <v>23.679027902798428</v>
      </c>
      <c r="H10" s="23"/>
      <c r="I10" s="24">
        <v>2.6340895308182653E-3</v>
      </c>
      <c r="J10" s="13">
        <f>'Sample Regression'!$G10^1.071</f>
        <v>29.644470942664007</v>
      </c>
      <c r="K10" s="13">
        <f>'Sample Regression'!$I10^0.507</f>
        <v>4.9233383128583663E-2</v>
      </c>
      <c r="L10" s="13">
        <f>0.969*'Sample Regression'!$E10+10.82-8.448*'Sample Regression'!$D10^(-0.0467)</f>
        <v>4.1120090767231749</v>
      </c>
      <c r="M10" s="13">
        <f>10^'Sample Regression'!$L10</f>
        <v>12942.228903318723</v>
      </c>
      <c r="N10" s="14">
        <f>'Sample Regression'!$J10*'Sample Regression'!$K10*'Sample Regression'!$M10</f>
        <v>18889.151965637018</v>
      </c>
      <c r="O10" s="25">
        <f t="shared" si="2"/>
        <v>9467.0018192227944</v>
      </c>
      <c r="P10" s="14">
        <f t="shared" si="3"/>
        <v>37688.813078755898</v>
      </c>
      <c r="Q10" s="13">
        <v>63104</v>
      </c>
      <c r="R10" s="13" t="str">
        <f t="shared" si="0"/>
        <v>HIGH</v>
      </c>
      <c r="S10" s="14">
        <f t="shared" si="1"/>
        <v>25415.186921244102</v>
      </c>
      <c r="Y10" s="15">
        <f>(Y8-Y7)/Y9</f>
        <v>5.0659617216294818E-3</v>
      </c>
      <c r="AB10" s="15" t="s">
        <v>28</v>
      </c>
      <c r="AC10" s="15">
        <v>173</v>
      </c>
    </row>
    <row r="11" spans="1:29" s="15" customFormat="1" ht="15.75" x14ac:dyDescent="0.25">
      <c r="A11" s="16">
        <v>9</v>
      </c>
      <c r="B11" s="17" t="s">
        <v>34</v>
      </c>
      <c r="C11" s="17"/>
      <c r="D11" s="17">
        <v>300</v>
      </c>
      <c r="E11" s="17">
        <v>7.0999999999999994E-2</v>
      </c>
      <c r="F11" s="18">
        <v>509.46011708687001</v>
      </c>
      <c r="G11" s="19">
        <f>'Sample Regression'!$F11/25.4</f>
        <v>20.057484924679922</v>
      </c>
      <c r="H11" s="19"/>
      <c r="I11" s="20">
        <v>3.2175092015183666E-3</v>
      </c>
      <c r="J11" s="17">
        <f>'Sample Regression'!$G11^1.071</f>
        <v>24.816361343342457</v>
      </c>
      <c r="K11" s="17">
        <f>'Sample Regression'!$I11^0.507</f>
        <v>5.4489464188560183E-2</v>
      </c>
      <c r="L11" s="17">
        <f>0.969*'Sample Regression'!$E11+10.82-8.448*'Sample Regression'!$D11^(-0.0467)</f>
        <v>4.4162947750489687</v>
      </c>
      <c r="M11" s="17">
        <f>10^'Sample Regression'!$L11</f>
        <v>26079.230631910024</v>
      </c>
      <c r="N11" s="18">
        <f>'Sample Regression'!$J11*'Sample Regression'!$K11*'Sample Regression'!$M11</f>
        <v>35265.124106244461</v>
      </c>
      <c r="O11" s="21">
        <f t="shared" si="2"/>
        <v>17674.429994331105</v>
      </c>
      <c r="P11" s="18">
        <f t="shared" si="3"/>
        <v>70363.173161890183</v>
      </c>
      <c r="Q11" s="17">
        <v>106399</v>
      </c>
      <c r="R11" s="17" t="str">
        <f t="shared" si="0"/>
        <v>HIGH</v>
      </c>
      <c r="S11" s="18">
        <f t="shared" si="1"/>
        <v>36035.826838109817</v>
      </c>
      <c r="AB11" s="15" t="s">
        <v>30</v>
      </c>
      <c r="AC11" s="15">
        <v>2516.96875</v>
      </c>
    </row>
    <row r="12" spans="1:29" s="15" customFormat="1" ht="15.75" x14ac:dyDescent="0.25">
      <c r="A12" s="22">
        <v>10</v>
      </c>
      <c r="B12" s="13" t="s">
        <v>34</v>
      </c>
      <c r="C12" s="13"/>
      <c r="D12" s="13">
        <v>5800</v>
      </c>
      <c r="E12" s="13">
        <v>7.0999999999999994E-2</v>
      </c>
      <c r="F12" s="14">
        <v>508.63674554451001</v>
      </c>
      <c r="G12" s="23">
        <f>'Sample Regression'!$F12/25.4</f>
        <v>20.025068722224805</v>
      </c>
      <c r="H12" s="23">
        <v>736070.2</v>
      </c>
      <c r="I12" s="24">
        <v>1.6007304738053518E-3</v>
      </c>
      <c r="J12" s="13">
        <f>'Sample Regression'!$G12^1.071</f>
        <v>24.773408857214307</v>
      </c>
      <c r="K12" s="13">
        <f>'Sample Regression'!$I12^0.507</f>
        <v>3.8246291779465834E-2</v>
      </c>
      <c r="L12" s="13">
        <f>0.969*'Sample Regression'!$E12+10.82-8.448*'Sample Regression'!$D12^(-0.0467)</f>
        <v>5.2523988486799542</v>
      </c>
      <c r="M12" s="13">
        <f>10^'Sample Regression'!$L12</f>
        <v>178812.90083318067</v>
      </c>
      <c r="N12" s="14">
        <f>'Sample Regression'!$J12*'Sample Regression'!$K12*'Sample Regression'!$M12</f>
        <v>169423.61842990853</v>
      </c>
      <c r="O12" s="25">
        <f t="shared" si="2"/>
        <v>84912.954632008608</v>
      </c>
      <c r="P12" s="14">
        <f t="shared" si="3"/>
        <v>338044.56111886411</v>
      </c>
      <c r="Q12" s="13">
        <v>251004</v>
      </c>
      <c r="R12" s="13" t="str">
        <f t="shared" si="0"/>
        <v>OK</v>
      </c>
      <c r="S12" s="14" t="str">
        <f t="shared" si="1"/>
        <v/>
      </c>
      <c r="Y12" s="27"/>
    </row>
    <row r="13" spans="1:29" s="15" customFormat="1" ht="15.75" x14ac:dyDescent="0.25">
      <c r="A13" s="16">
        <v>11</v>
      </c>
      <c r="B13" s="17" t="s">
        <v>36</v>
      </c>
      <c r="C13" s="17"/>
      <c r="D13" s="17">
        <v>310</v>
      </c>
      <c r="E13" s="17">
        <v>-1E-3</v>
      </c>
      <c r="F13" s="18">
        <v>596.66105351705005</v>
      </c>
      <c r="G13" s="19">
        <f>'Sample Regression'!$F13/25.4</f>
        <v>23.490592658151577</v>
      </c>
      <c r="H13" s="19">
        <v>166203.94</v>
      </c>
      <c r="I13" s="20">
        <v>4.1220066744506777E-3</v>
      </c>
      <c r="J13" s="17">
        <f>'Sample Regression'!$G13^1.071</f>
        <v>29.391885434362248</v>
      </c>
      <c r="K13" s="17">
        <f>'Sample Regression'!$I13^0.507</f>
        <v>6.1781735832717823E-2</v>
      </c>
      <c r="L13" s="17">
        <f>0.969*'Sample Regression'!$E13+10.82-8.448*'Sample Regression'!$D13^(-0.0467)</f>
        <v>4.3564304373079539</v>
      </c>
      <c r="M13" s="17">
        <f>10^'Sample Regression'!$L13</f>
        <v>22721.156722269374</v>
      </c>
      <c r="N13" s="18">
        <f>'Sample Regression'!$J13*'Sample Regression'!$K13*'Sample Regression'!$M13</f>
        <v>41258.932729593282</v>
      </c>
      <c r="O13" s="21">
        <f t="shared" si="2"/>
        <v>20678.450357158581</v>
      </c>
      <c r="P13" s="18">
        <f t="shared" si="3"/>
        <v>82322.393631193554</v>
      </c>
      <c r="Q13" s="17">
        <v>88123</v>
      </c>
      <c r="R13" s="17" t="str">
        <f t="shared" si="0"/>
        <v>HIGH</v>
      </c>
      <c r="S13" s="18">
        <f t="shared" si="1"/>
        <v>5800.606368806446</v>
      </c>
      <c r="X13" s="15" t="s">
        <v>37</v>
      </c>
      <c r="Y13" s="15" t="s">
        <v>38</v>
      </c>
    </row>
    <row r="14" spans="1:29" s="15" customFormat="1" ht="15.75" x14ac:dyDescent="0.25">
      <c r="A14" s="22">
        <v>12</v>
      </c>
      <c r="B14" s="13" t="s">
        <v>36</v>
      </c>
      <c r="C14" s="13"/>
      <c r="D14" s="13">
        <v>5700</v>
      </c>
      <c r="E14" s="13">
        <v>-1E-3</v>
      </c>
      <c r="F14" s="14">
        <v>497.04789116309001</v>
      </c>
      <c r="G14" s="23">
        <f>'Sample Regression'!$F14/25.4</f>
        <v>19.568814612720079</v>
      </c>
      <c r="H14" s="23">
        <v>709301.42999999993</v>
      </c>
      <c r="I14" s="24">
        <v>2.9659090909090911E-3</v>
      </c>
      <c r="J14" s="13">
        <f>'Sample Regression'!$G14^1.071</f>
        <v>24.169385001345994</v>
      </c>
      <c r="K14" s="13">
        <f>'Sample Regression'!$I14^0.507</f>
        <v>5.2285831916379769E-2</v>
      </c>
      <c r="L14" s="13">
        <f>0.969*'Sample Regression'!$E14+10.82-8.448*'Sample Regression'!$D14^(-0.0467)</f>
        <v>5.1780511365709696</v>
      </c>
      <c r="M14" s="13">
        <f>10^'Sample Regression'!$L14</f>
        <v>150678.44740477693</v>
      </c>
      <c r="N14" s="14">
        <f>'Sample Regression'!$J14*'Sample Regression'!$K14*'Sample Regression'!$M14</f>
        <v>190414.82536850622</v>
      </c>
      <c r="O14" s="25">
        <f t="shared" si="2"/>
        <v>95433.479568062059</v>
      </c>
      <c r="P14" s="14">
        <f t="shared" si="3"/>
        <v>379927.52526916162</v>
      </c>
      <c r="Q14" s="13">
        <v>148370</v>
      </c>
      <c r="R14" s="13" t="str">
        <f t="shared" si="0"/>
        <v>OK</v>
      </c>
      <c r="S14" s="14" t="str">
        <f t="shared" si="1"/>
        <v/>
      </c>
      <c r="V14" s="6"/>
      <c r="X14" s="15">
        <v>23.24</v>
      </c>
      <c r="Y14" s="15">
        <f>X14/5280</f>
        <v>4.4015151515151511E-3</v>
      </c>
      <c r="AB14" s="15" t="s">
        <v>28</v>
      </c>
      <c r="AC14" s="15">
        <v>220</v>
      </c>
    </row>
    <row r="15" spans="1:29" s="15" customFormat="1" ht="15.75" x14ac:dyDescent="0.25">
      <c r="A15" s="16">
        <v>13</v>
      </c>
      <c r="B15" s="17" t="s">
        <v>34</v>
      </c>
      <c r="C15" s="17"/>
      <c r="D15" s="17">
        <v>6300</v>
      </c>
      <c r="E15" s="17">
        <v>7.0999999999999994E-2</v>
      </c>
      <c r="F15" s="18">
        <v>517.43095411758998</v>
      </c>
      <c r="G15" s="19">
        <f>'Sample Regression'!$F15/25.4</f>
        <v>20.371297406204331</v>
      </c>
      <c r="H15" s="19">
        <v>839244.2</v>
      </c>
      <c r="I15" s="20">
        <v>1.4888396011554206E-3</v>
      </c>
      <c r="J15" s="17">
        <f>'Sample Regression'!$G15^1.071</f>
        <v>25.232426458047314</v>
      </c>
      <c r="K15" s="17">
        <f>'Sample Regression'!$I15^0.507</f>
        <v>3.6866668288107987E-2</v>
      </c>
      <c r="L15" s="17">
        <f>0.969*'Sample Regression'!$E15+10.82-8.448*'Sample Regression'!$D15^(-0.0467)</f>
        <v>5.2741229797164362</v>
      </c>
      <c r="M15" s="17">
        <f>10^'Sample Regression'!$L15</f>
        <v>187984.90606721476</v>
      </c>
      <c r="N15" s="18">
        <f>'Sample Regression'!$J15*'Sample Regression'!$K15*'Sample Regression'!$M15</f>
        <v>174870.23239853096</v>
      </c>
      <c r="O15" s="21">
        <f t="shared" si="2"/>
        <v>87642.72801957815</v>
      </c>
      <c r="P15" s="18">
        <f t="shared" si="3"/>
        <v>348911.98471463955</v>
      </c>
      <c r="Q15" s="17">
        <v>122953</v>
      </c>
      <c r="R15" s="17" t="str">
        <f t="shared" si="0"/>
        <v>OK</v>
      </c>
      <c r="S15" s="18" t="str">
        <f t="shared" si="1"/>
        <v/>
      </c>
      <c r="V15" s="6"/>
      <c r="Y15" s="27"/>
      <c r="AB15" s="15" t="s">
        <v>30</v>
      </c>
      <c r="AC15" s="15">
        <v>2773.5</v>
      </c>
    </row>
    <row r="16" spans="1:29" s="15" customFormat="1" ht="15.75" x14ac:dyDescent="0.25">
      <c r="A16" s="22">
        <v>14</v>
      </c>
      <c r="B16" s="13" t="s">
        <v>34</v>
      </c>
      <c r="C16" s="13" t="s">
        <v>39</v>
      </c>
      <c r="D16" s="13">
        <v>6400</v>
      </c>
      <c r="E16" s="13">
        <v>7.0999999999999994E-2</v>
      </c>
      <c r="F16" s="14">
        <v>509.58195027750003</v>
      </c>
      <c r="G16" s="23">
        <f>'Sample Regression'!$F16/25.4</f>
        <v>20.062281506988192</v>
      </c>
      <c r="H16" s="23"/>
      <c r="I16" s="24">
        <v>2.4943181818181817E-3</v>
      </c>
      <c r="J16" s="13">
        <f>'Sample Regression'!$G16^1.071</f>
        <v>24.822717384320008</v>
      </c>
      <c r="K16" s="13">
        <f>'Sample Regression'!$I16^0.507</f>
        <v>4.7891075388175136E-2</v>
      </c>
      <c r="L16" s="13">
        <f>0.969*'Sample Regression'!$E16+10.82-8.448*'Sample Regression'!$D16^(-0.0467)</f>
        <v>5.2782507654119986</v>
      </c>
      <c r="M16" s="13">
        <f>10^'Sample Regression'!$L16</f>
        <v>189780.14119529669</v>
      </c>
      <c r="N16" s="14">
        <f>'Sample Regression'!$J16*'Sample Regression'!$K16*'Sample Regression'!$M16</f>
        <v>225608.09441501932</v>
      </c>
      <c r="O16" s="25">
        <f t="shared" si="2"/>
        <v>113071.89672378401</v>
      </c>
      <c r="P16" s="14">
        <f t="shared" si="3"/>
        <v>450147.32873822894</v>
      </c>
      <c r="Q16" s="13">
        <v>246322</v>
      </c>
      <c r="R16" s="13" t="str">
        <f t="shared" si="0"/>
        <v>OK</v>
      </c>
      <c r="S16" s="14" t="str">
        <f t="shared" si="1"/>
        <v/>
      </c>
      <c r="V16" s="6"/>
      <c r="Y16" s="27"/>
    </row>
    <row r="17" spans="1:29" s="15" customFormat="1" ht="15.75" x14ac:dyDescent="0.25">
      <c r="A17" s="16">
        <v>15</v>
      </c>
      <c r="B17" s="17" t="s">
        <v>36</v>
      </c>
      <c r="C17" s="17" t="s">
        <v>40</v>
      </c>
      <c r="D17" s="17">
        <v>140</v>
      </c>
      <c r="E17" s="17">
        <v>-1E-3</v>
      </c>
      <c r="F17" s="18">
        <v>583.52720514674002</v>
      </c>
      <c r="G17" s="19">
        <f>'Sample Regression'!$F17/25.4</f>
        <v>22.973512013651185</v>
      </c>
      <c r="H17" s="19">
        <v>118833.19</v>
      </c>
      <c r="I17" s="20">
        <v>4.20968249695224E-3</v>
      </c>
      <c r="J17" s="17">
        <f>'Sample Regression'!$G17^1.071</f>
        <v>28.699513621542241</v>
      </c>
      <c r="K17" s="17">
        <f>'Sample Regression'!$I17^0.507</f>
        <v>6.2444532166748029E-2</v>
      </c>
      <c r="L17" s="17">
        <f>0.969*'Sample Regression'!$E17+10.82-8.448*'Sample Regression'!$D17^(-0.0467)</f>
        <v>4.1120090767231749</v>
      </c>
      <c r="M17" s="17">
        <f>10^'Sample Regression'!$L17</f>
        <v>12942.228903318723</v>
      </c>
      <c r="N17" s="18">
        <f>'Sample Regression'!$J17*'Sample Regression'!$K17*'Sample Regression'!$M17</f>
        <v>23194.126936926277</v>
      </c>
      <c r="O17" s="21">
        <f t="shared" si="2"/>
        <v>11624.600315917905</v>
      </c>
      <c r="P17" s="18">
        <f t="shared" si="3"/>
        <v>46278.367405853664</v>
      </c>
      <c r="Q17" s="17">
        <v>7972</v>
      </c>
      <c r="R17" s="17" t="str">
        <f t="shared" si="0"/>
        <v>LOW</v>
      </c>
      <c r="S17" s="18">
        <f t="shared" si="1"/>
        <v>3652.6003159179054</v>
      </c>
      <c r="V17" s="6"/>
      <c r="Y17" s="27"/>
      <c r="AB17" s="15" t="s">
        <v>28</v>
      </c>
      <c r="AC17" s="15">
        <v>219</v>
      </c>
    </row>
    <row r="18" spans="1:29" s="15" customFormat="1" ht="15.75" x14ac:dyDescent="0.25">
      <c r="A18" s="22">
        <v>16</v>
      </c>
      <c r="B18" s="13" t="s">
        <v>36</v>
      </c>
      <c r="C18" s="13" t="s">
        <v>41</v>
      </c>
      <c r="D18" s="13">
        <v>5500</v>
      </c>
      <c r="E18" s="13">
        <v>-1E-3</v>
      </c>
      <c r="F18" s="14">
        <v>494.09842856633003</v>
      </c>
      <c r="G18" s="23">
        <f>'Sample Regression'!$F18/25.4</f>
        <v>19.452694038044491</v>
      </c>
      <c r="H18" s="23">
        <v>627305.53999999992</v>
      </c>
      <c r="I18" s="24">
        <v>1.6525041369792465E-3</v>
      </c>
      <c r="J18" s="13">
        <f>'Sample Regression'!$G18^1.071</f>
        <v>24.015814407621857</v>
      </c>
      <c r="K18" s="13">
        <f>'Sample Regression'!$I18^0.507</f>
        <v>3.8868544281675077E-2</v>
      </c>
      <c r="L18" s="13">
        <f>0.969*'Sample Regression'!$E18+10.82-8.448*'Sample Regression'!$D18^(-0.0467)</f>
        <v>5.1686339358604574</v>
      </c>
      <c r="M18" s="13">
        <f>10^'Sample Regression'!$L18</f>
        <v>147446.31934183009</v>
      </c>
      <c r="N18" s="14">
        <f>'Sample Regression'!$J18*'Sample Regression'!$K18*'Sample Regression'!$M18</f>
        <v>137635.20376653556</v>
      </c>
      <c r="O18" s="25">
        <f t="shared" si="2"/>
        <v>68981.007025476007</v>
      </c>
      <c r="P18" s="14">
        <f t="shared" si="3"/>
        <v>274618.33528843161</v>
      </c>
      <c r="Q18" s="13">
        <v>158560</v>
      </c>
      <c r="R18" s="13" t="str">
        <f t="shared" si="0"/>
        <v>OK</v>
      </c>
      <c r="S18" s="14" t="str">
        <f t="shared" si="1"/>
        <v/>
      </c>
      <c r="V18" s="6"/>
      <c r="Y18" s="28"/>
      <c r="AB18" s="15" t="s">
        <v>30</v>
      </c>
      <c r="AC18" s="15">
        <v>2764.1875</v>
      </c>
    </row>
    <row r="19" spans="1:29" s="15" customFormat="1" ht="15.75" x14ac:dyDescent="0.25">
      <c r="A19" s="16">
        <v>17</v>
      </c>
      <c r="B19" s="17" t="s">
        <v>36</v>
      </c>
      <c r="C19" s="17" t="s">
        <v>42</v>
      </c>
      <c r="D19" s="17">
        <v>3900</v>
      </c>
      <c r="E19" s="17">
        <v>-1E-3</v>
      </c>
      <c r="F19" s="18">
        <v>483.96935364481999</v>
      </c>
      <c r="G19" s="19">
        <f>'Sample Regression'!$F19/25.4</f>
        <v>19.053911560819685</v>
      </c>
      <c r="H19" s="19"/>
      <c r="I19" s="20">
        <v>1.4261363636363636E-3</v>
      </c>
      <c r="J19" s="17">
        <f>'Sample Regression'!$G19^1.071</f>
        <v>23.488918412271083</v>
      </c>
      <c r="K19" s="17">
        <f>'Sample Regression'!$I19^0.507</f>
        <v>3.60711222373329E-2</v>
      </c>
      <c r="L19" s="17">
        <f>0.969*'Sample Regression'!$E19+10.82-8.448*'Sample Regression'!$D19^(-0.0467)</f>
        <v>5.07718965670316</v>
      </c>
      <c r="M19" s="17">
        <f>10^'Sample Regression'!$L19</f>
        <v>119450.96337700974</v>
      </c>
      <c r="N19" s="18">
        <f>'Sample Regression'!$J19*'Sample Regression'!$K19*'Sample Regression'!$M19</f>
        <v>101207.41450863887</v>
      </c>
      <c r="O19" s="21">
        <f t="shared" si="2"/>
        <v>50723.864100153456</v>
      </c>
      <c r="P19" s="18">
        <f t="shared" si="3"/>
        <v>201935.340164522</v>
      </c>
      <c r="Q19" s="17">
        <v>42445</v>
      </c>
      <c r="R19" s="17" t="str">
        <f t="shared" si="0"/>
        <v>LOW</v>
      </c>
      <c r="S19" s="18">
        <f t="shared" si="1"/>
        <v>8278.8641001534561</v>
      </c>
    </row>
    <row r="20" spans="1:29" s="15" customFormat="1" ht="15.75" x14ac:dyDescent="0.25">
      <c r="A20" s="22">
        <v>18</v>
      </c>
      <c r="B20" s="13" t="s">
        <v>25</v>
      </c>
      <c r="C20" s="13"/>
      <c r="D20" s="13">
        <v>700</v>
      </c>
      <c r="E20" s="13">
        <v>-1E-3</v>
      </c>
      <c r="F20" s="14">
        <v>524.40522489019997</v>
      </c>
      <c r="G20" s="23">
        <f>'Sample Regression'!$F20/25.4</f>
        <v>20.645874995677165</v>
      </c>
      <c r="H20" s="23">
        <v>294891.98</v>
      </c>
      <c r="I20" s="24">
        <v>2.6952665854120552E-3</v>
      </c>
      <c r="J20" s="13">
        <f>'Sample Regression'!$G20^1.071</f>
        <v>25.596846103445259</v>
      </c>
      <c r="K20" s="13">
        <f>'Sample Regression'!$I20^0.507</f>
        <v>4.9809831855345342E-2</v>
      </c>
      <c r="L20" s="13">
        <f>0.969*'Sample Regression'!$E20+10.82-8.448*'Sample Regression'!$D20^(-0.0467)</f>
        <v>4.5976352709446644</v>
      </c>
      <c r="M20" s="13">
        <f>10^'Sample Regression'!$L20</f>
        <v>39594.537186898553</v>
      </c>
      <c r="N20" s="14">
        <f>'Sample Regression'!$J20*'Sample Regression'!$K20*'Sample Regression'!$M20</f>
        <v>50482.029229463202</v>
      </c>
      <c r="O20" s="25">
        <f t="shared" si="2"/>
        <v>25300.948577405823</v>
      </c>
      <c r="P20" s="14">
        <f t="shared" si="3"/>
        <v>100724.89050470559</v>
      </c>
      <c r="Q20" s="13">
        <v>37638</v>
      </c>
      <c r="R20" s="13" t="str">
        <f t="shared" si="0"/>
        <v>OK</v>
      </c>
      <c r="S20" s="18" t="str">
        <f t="shared" si="1"/>
        <v/>
      </c>
    </row>
    <row r="21" spans="1:29" s="15" customFormat="1" ht="15.75" x14ac:dyDescent="0.25">
      <c r="A21" s="16">
        <v>19</v>
      </c>
      <c r="B21" s="17" t="s">
        <v>25</v>
      </c>
      <c r="C21" s="17"/>
      <c r="D21" s="17">
        <v>3800</v>
      </c>
      <c r="E21" s="17">
        <v>-1E-3</v>
      </c>
      <c r="F21" s="18">
        <v>483.35497692322002</v>
      </c>
      <c r="G21" s="19">
        <f>'Sample Regression'!$F21/25.4</f>
        <v>19.029723500914177</v>
      </c>
      <c r="H21" s="19">
        <v>519571.03999999992</v>
      </c>
      <c r="I21" s="20">
        <v>1.737370697181275E-3</v>
      </c>
      <c r="J21" s="17">
        <f>'Sample Regression'!$G21^1.071</f>
        <v>23.456984671110988</v>
      </c>
      <c r="K21" s="17">
        <f>'Sample Regression'!$I21^0.507</f>
        <v>3.9868095841596493E-2</v>
      </c>
      <c r="L21" s="17">
        <f>0.969*'Sample Regression'!$E21+10.82-8.448*'Sample Regression'!$D21^(-0.0467)</f>
        <v>5.0702202598408039</v>
      </c>
      <c r="M21" s="17">
        <f>10^'Sample Regression'!$L21</f>
        <v>117549.35753665265</v>
      </c>
      <c r="N21" s="18">
        <f>'Sample Regression'!$J21*'Sample Regression'!$K21*'Sample Regression'!$M21</f>
        <v>109930.43272353327</v>
      </c>
      <c r="O21" s="21">
        <f t="shared" si="2"/>
        <v>55095.729468156773</v>
      </c>
      <c r="P21" s="18">
        <f t="shared" si="3"/>
        <v>219340.04968148784</v>
      </c>
      <c r="Q21" s="29">
        <v>46777</v>
      </c>
      <c r="R21" s="29" t="str">
        <f t="shared" si="0"/>
        <v>LOW</v>
      </c>
      <c r="S21" s="18">
        <f t="shared" si="1"/>
        <v>8318.7294681567728</v>
      </c>
    </row>
    <row r="22" spans="1:29" s="15" customFormat="1" ht="15.75" x14ac:dyDescent="0.25">
      <c r="A22" s="22">
        <v>20</v>
      </c>
      <c r="B22" s="13" t="s">
        <v>43</v>
      </c>
      <c r="C22" s="13"/>
      <c r="D22" s="13">
        <v>1200</v>
      </c>
      <c r="E22" s="13">
        <v>-1E-3</v>
      </c>
      <c r="F22" s="14">
        <v>502.83089087333002</v>
      </c>
      <c r="G22" s="23">
        <f>'Sample Regression'!$F22/25.4</f>
        <v>19.796491766666538</v>
      </c>
      <c r="H22" s="23">
        <v>333642.77999999997</v>
      </c>
      <c r="I22" s="24">
        <v>2.3141329999999999E-3</v>
      </c>
      <c r="J22" s="13">
        <f>'Sample Regression'!$G22^1.071</f>
        <v>24.470677766693981</v>
      </c>
      <c r="K22" s="13">
        <f>'Sample Regression'!$I22^0.507</f>
        <v>4.6104665553065381E-2</v>
      </c>
      <c r="L22" s="13">
        <f>0.969*'Sample Regression'!$E22+10.82-8.448*'Sample Regression'!$D22^(-0.0467)</f>
        <v>4.7522804106205028</v>
      </c>
      <c r="M22" s="13">
        <f>10^'Sample Regression'!$L22</f>
        <v>56530.185506498674</v>
      </c>
      <c r="N22" s="14">
        <f>'Sample Regression'!$J22*'Sample Regression'!$K22*'Sample Regression'!$M22</f>
        <v>63778.057070563074</v>
      </c>
      <c r="O22" s="25">
        <f t="shared" si="2"/>
        <v>31964.747989317835</v>
      </c>
      <c r="P22" s="14">
        <f t="shared" si="3"/>
        <v>127253.95379482908</v>
      </c>
      <c r="Q22" s="30" t="s">
        <v>44</v>
      </c>
      <c r="R22" s="30"/>
      <c r="S22" s="30"/>
    </row>
    <row r="23" spans="1:29" s="15" customFormat="1" ht="15.75" x14ac:dyDescent="0.25">
      <c r="A23" s="16">
        <v>21</v>
      </c>
      <c r="B23" s="17" t="s">
        <v>43</v>
      </c>
      <c r="C23" s="17"/>
      <c r="D23" s="17">
        <v>1300</v>
      </c>
      <c r="E23" s="17">
        <v>-1E-3</v>
      </c>
      <c r="F23" s="18">
        <v>503.41515494663003</v>
      </c>
      <c r="G23" s="19">
        <f>'Sample Regression'!$F23/25.4</f>
        <v>19.819494289237404</v>
      </c>
      <c r="H23" s="19">
        <v>348142.77999999997</v>
      </c>
      <c r="I23" s="20">
        <v>2.4028395763370423E-3</v>
      </c>
      <c r="J23" s="17">
        <f>'Sample Regression'!$G23^1.071</f>
        <v>24.501131504787999</v>
      </c>
      <c r="K23" s="17">
        <f>'Sample Regression'!$I23^0.507</f>
        <v>4.6992382226808599E-2</v>
      </c>
      <c r="L23" s="17">
        <f>0.969*'Sample Regression'!$E23+10.82-8.448*'Sample Regression'!$D23^(-0.0467)</f>
        <v>4.7749155592571935</v>
      </c>
      <c r="M23" s="17">
        <f>10^'Sample Regression'!$L23</f>
        <v>59554.633900814166</v>
      </c>
      <c r="N23" s="18">
        <f>'Sample Regression'!$J23*'Sample Regression'!$K23*'Sample Regression'!$M23</f>
        <v>68569.21257657159</v>
      </c>
      <c r="O23" s="21">
        <f t="shared" si="2"/>
        <v>34366.013963252357</v>
      </c>
      <c r="P23" s="18">
        <f t="shared" si="3"/>
        <v>136813.56582112343</v>
      </c>
      <c r="Q23" s="29" t="s">
        <v>44</v>
      </c>
      <c r="R23" s="29"/>
      <c r="S23" s="29"/>
    </row>
    <row r="24" spans="1:29" s="15" customFormat="1" ht="15.75" x14ac:dyDescent="0.25">
      <c r="A24" s="22">
        <v>22</v>
      </c>
      <c r="B24" s="13" t="s">
        <v>43</v>
      </c>
      <c r="C24" s="13"/>
      <c r="D24" s="13">
        <v>110</v>
      </c>
      <c r="E24" s="13">
        <v>-1E-3</v>
      </c>
      <c r="F24" s="14">
        <v>548.05559939053001</v>
      </c>
      <c r="G24" s="23">
        <f>'Sample Regression'!$F24/25.4</f>
        <v>21.576992101989372</v>
      </c>
      <c r="H24" s="23">
        <v>110344.3</v>
      </c>
      <c r="I24" s="24">
        <v>5.0659617216294818E-3</v>
      </c>
      <c r="J24" s="13">
        <f>'Sample Regression'!$G24^1.071</f>
        <v>26.835164180059717</v>
      </c>
      <c r="K24" s="13">
        <f>'Sample Regression'!$I24^0.507</f>
        <v>6.8590439444084647E-2</v>
      </c>
      <c r="L24" s="13">
        <f>0.969*'Sample Regression'!$E24+10.82-8.448*'Sample Regression'!$D24^(-0.0467)</f>
        <v>4.0360458417476499</v>
      </c>
      <c r="M24" s="13">
        <f>10^'Sample Regression'!$L24</f>
        <v>10865.403068100306</v>
      </c>
      <c r="N24" s="14">
        <f>'Sample Regression'!$J24*'Sample Regression'!$K24*'Sample Regression'!$M24</f>
        <v>19999.248821850739</v>
      </c>
      <c r="O24" s="25">
        <f t="shared" si="2"/>
        <v>10023.368191646869</v>
      </c>
      <c r="P24" s="14">
        <f t="shared" si="3"/>
        <v>39903.747501924576</v>
      </c>
      <c r="Q24" s="30" t="s">
        <v>44</v>
      </c>
      <c r="R24" s="30"/>
      <c r="S24" s="30"/>
    </row>
    <row r="25" spans="1:29" s="15" customFormat="1" ht="15.75" x14ac:dyDescent="0.25">
      <c r="A25" s="16">
        <v>23</v>
      </c>
      <c r="B25" s="17" t="s">
        <v>43</v>
      </c>
      <c r="C25" s="17"/>
      <c r="D25" s="17">
        <v>1400</v>
      </c>
      <c r="E25" s="17">
        <v>-1E-3</v>
      </c>
      <c r="F25" s="18">
        <v>507.24303237445002</v>
      </c>
      <c r="G25" s="19">
        <f>'Sample Regression'!$F25/25.4</f>
        <v>19.970198124978349</v>
      </c>
      <c r="H25" s="19">
        <v>365554.77999999997</v>
      </c>
      <c r="I25" s="20">
        <v>2.2966804045073631E-3</v>
      </c>
      <c r="J25" s="17">
        <f>'Sample Regression'!$G25^1.071</f>
        <v>24.700714846605724</v>
      </c>
      <c r="K25" s="17">
        <f>'Sample Regression'!$I25^0.507</f>
        <v>4.5928047862060069E-2</v>
      </c>
      <c r="L25" s="17">
        <f>0.969*'Sample Regression'!$E25+10.82-8.448*'Sample Regression'!$D25^(-0.0467)</f>
        <v>4.7957971348756656</v>
      </c>
      <c r="M25" s="17">
        <f>10^'Sample Regression'!$L25</f>
        <v>62488.073392082217</v>
      </c>
      <c r="N25" s="18">
        <f>'Sample Regression'!$J25*'Sample Regression'!$K25*'Sample Regression'!$M25</f>
        <v>70889.945649070592</v>
      </c>
      <c r="O25" s="21">
        <f t="shared" si="2"/>
        <v>35529.135751845432</v>
      </c>
      <c r="P25" s="18">
        <f t="shared" si="3"/>
        <v>141444.0370637828</v>
      </c>
      <c r="Q25" s="29" t="s">
        <v>44</v>
      </c>
      <c r="R25" s="29"/>
      <c r="S25" s="29"/>
    </row>
    <row r="26" spans="1:29" s="15" customFormat="1" ht="15.75" x14ac:dyDescent="0.25">
      <c r="A26" s="22">
        <v>24</v>
      </c>
      <c r="B26" s="13" t="s">
        <v>43</v>
      </c>
      <c r="C26" s="13"/>
      <c r="D26" s="13">
        <v>1500</v>
      </c>
      <c r="E26" s="13">
        <v>-1E-3</v>
      </c>
      <c r="F26" s="14">
        <v>510.67873685440998</v>
      </c>
      <c r="G26" s="23">
        <f>'Sample Regression'!$F26/25.4</f>
        <v>20.105462080882283</v>
      </c>
      <c r="H26" s="23">
        <v>403244.6</v>
      </c>
      <c r="I26" s="24">
        <v>2.2197290428687703E-3</v>
      </c>
      <c r="J26" s="13">
        <f>'Sample Regression'!$G26^1.071</f>
        <v>24.879941625657764</v>
      </c>
      <c r="K26" s="13">
        <f>'Sample Regression'!$I26^0.507</f>
        <v>4.5141302079153185E-2</v>
      </c>
      <c r="L26" s="13">
        <f>0.969*'Sample Regression'!$E26+10.82-8.448*'Sample Regression'!$D26^(-0.0467)</f>
        <v>4.8151725659531097</v>
      </c>
      <c r="M26" s="13">
        <f>10^'Sample Regression'!$L26</f>
        <v>65339.012419660074</v>
      </c>
      <c r="N26" s="14">
        <f>'Sample Regression'!$J26*'Sample Regression'!$K26*'Sample Regression'!$M26</f>
        <v>73383.091683645092</v>
      </c>
      <c r="O26" s="25">
        <f t="shared" si="2"/>
        <v>36778.668715942644</v>
      </c>
      <c r="P26" s="14">
        <f t="shared" si="3"/>
        <v>146418.51739228322</v>
      </c>
      <c r="Q26" s="30" t="s">
        <v>44</v>
      </c>
      <c r="R26" s="30"/>
      <c r="S26" s="30"/>
    </row>
    <row r="27" spans="1:29" s="15" customFormat="1" ht="15.75" x14ac:dyDescent="0.25">
      <c r="A27" s="16"/>
      <c r="B27" s="17"/>
      <c r="C27" s="17"/>
      <c r="D27" s="17"/>
      <c r="E27" s="17"/>
      <c r="F27" s="18"/>
      <c r="G27" s="19"/>
      <c r="H27" s="19"/>
      <c r="I27" s="31"/>
      <c r="J27" s="32"/>
      <c r="K27" s="33"/>
      <c r="L27" s="33"/>
      <c r="M27" s="33"/>
      <c r="N27" s="26"/>
      <c r="O27" s="29"/>
      <c r="P27" s="29"/>
      <c r="Q27" s="29"/>
      <c r="R27" s="29"/>
      <c r="S27" s="29"/>
    </row>
    <row r="28" spans="1:29" s="15" customFormat="1" ht="15.75" x14ac:dyDescent="0.25">
      <c r="A28" s="22"/>
      <c r="B28" s="13"/>
      <c r="C28" s="13"/>
      <c r="D28" s="13"/>
      <c r="E28" s="13"/>
      <c r="F28" s="14"/>
      <c r="G28" s="23"/>
      <c r="H28" s="23"/>
      <c r="I28" s="34"/>
      <c r="J28" s="35"/>
      <c r="K28" s="36"/>
      <c r="L28" s="36"/>
      <c r="M28" s="36"/>
      <c r="N28" s="37"/>
      <c r="O28" s="30"/>
      <c r="P28" s="30"/>
      <c r="Q28" s="30"/>
      <c r="R28" s="30"/>
      <c r="S28" s="30"/>
    </row>
    <row r="29" spans="1:29" s="15" customFormat="1" ht="15.75" x14ac:dyDescent="0.25">
      <c r="A29" s="38"/>
      <c r="B29" s="39"/>
      <c r="C29" s="39"/>
      <c r="D29" s="39"/>
      <c r="E29" s="39"/>
      <c r="F29" s="39"/>
      <c r="G29" s="40"/>
      <c r="H29" s="40"/>
      <c r="I29" s="41"/>
      <c r="J29" s="42"/>
      <c r="K29" s="43"/>
      <c r="L29" s="43"/>
      <c r="M29" s="43"/>
      <c r="N29" s="44"/>
      <c r="O29" s="29"/>
      <c r="P29" s="29"/>
      <c r="Q29" s="29"/>
      <c r="R29" s="29"/>
      <c r="S29" s="29"/>
    </row>
    <row r="30" spans="1:29" x14ac:dyDescent="0.25">
      <c r="I30" s="45"/>
    </row>
    <row r="31" spans="1:29" ht="15.75" x14ac:dyDescent="0.25">
      <c r="E31" s="15"/>
      <c r="F31" s="15"/>
      <c r="I31" s="45"/>
    </row>
    <row r="32" spans="1:29" x14ac:dyDescent="0.25">
      <c r="I32" s="45"/>
    </row>
    <row r="33" spans="5:9" x14ac:dyDescent="0.25">
      <c r="I33" s="45"/>
    </row>
    <row r="34" spans="5:9" ht="15.75" x14ac:dyDescent="0.25">
      <c r="E34" s="15"/>
      <c r="F34" s="15"/>
      <c r="I34" s="45"/>
    </row>
  </sheetData>
  <customSheetViews>
    <customSheetView guid="{0569136B-3B59-4622-A5A0-86B031190133}" hiddenColumns="1" state="hidden" topLeftCell="A13">
      <selection activeCell="F2" sqref="F2"/>
      <pageMargins left="0.7" right="0.7" top="0.75" bottom="0.75" header="0.3" footer="0.3"/>
      <pageSetup orientation="portrait" r:id="rId1"/>
    </customSheetView>
    <customSheetView guid="{D756B39F-0040-4C29-9A23-0D6EE33EF6FB}" hiddenColumns="1" state="hidden" topLeftCell="A13">
      <selection activeCell="F2" sqref="F2"/>
      <pageMargins left="0.7" right="0.7" top="0.75" bottom="0.75" header="0.3" footer="0.3"/>
      <pageSetup orientation="portrait" r:id="rId2"/>
    </customSheetView>
    <customSheetView guid="{B70FD742-4342-40D8-AE52-2B2E43FEFC45}" hiddenColumns="1" state="hidden" topLeftCell="A13">
      <selection activeCell="F2" sqref="F2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"/>
  <sheetViews>
    <sheetView tabSelected="1" workbookViewId="0">
      <selection activeCell="J16" sqref="J16"/>
    </sheetView>
  </sheetViews>
  <sheetFormatPr defaultRowHeight="15" x14ac:dyDescent="0.25"/>
  <cols>
    <col min="2" max="2" width="22.7109375" customWidth="1"/>
    <col min="3" max="3" width="9.140625" customWidth="1"/>
    <col min="4" max="4" width="12.42578125" customWidth="1"/>
    <col min="5" max="5" width="21" bestFit="1" customWidth="1"/>
    <col min="6" max="6" width="13.28515625" customWidth="1"/>
    <col min="7" max="7" width="12.7109375" customWidth="1"/>
    <col min="15" max="15" width="10.140625" bestFit="1" customWidth="1"/>
  </cols>
  <sheetData>
    <row r="2" spans="1:15" x14ac:dyDescent="0.25">
      <c r="B2" s="47" t="s">
        <v>50</v>
      </c>
    </row>
    <row r="3" spans="1:15" ht="30" x14ac:dyDescent="0.25">
      <c r="B3" s="46" t="s">
        <v>52</v>
      </c>
    </row>
    <row r="5" spans="1:15" x14ac:dyDescent="0.25">
      <c r="B5" s="47" t="s">
        <v>51</v>
      </c>
      <c r="D5" t="s">
        <v>62</v>
      </c>
      <c r="E5" s="47" t="s">
        <v>60</v>
      </c>
      <c r="F5" s="52" t="s">
        <v>47</v>
      </c>
      <c r="G5" s="52" t="s">
        <v>53</v>
      </c>
      <c r="H5" s="52" t="s">
        <v>45</v>
      </c>
      <c r="I5" s="52" t="s">
        <v>46</v>
      </c>
      <c r="J5" s="52" t="s">
        <v>13</v>
      </c>
    </row>
    <row r="6" spans="1:15" ht="30" x14ac:dyDescent="0.25">
      <c r="B6" s="49" t="s">
        <v>54</v>
      </c>
      <c r="E6" s="57" t="s">
        <v>61</v>
      </c>
      <c r="F6" s="53">
        <v>-1E-3</v>
      </c>
      <c r="G6" s="53">
        <v>190</v>
      </c>
      <c r="H6" s="54">
        <v>19.921259842519685</v>
      </c>
      <c r="I6" s="53">
        <v>2.8306681940396226E-3</v>
      </c>
      <c r="J6" s="53">
        <f>H6^(1.071)*I6^(0.507)*10^(0.969*F6+10.82-8.448*G6^(-0.0467))</f>
        <v>20260.831147056997</v>
      </c>
    </row>
    <row r="7" spans="1:15" x14ac:dyDescent="0.25">
      <c r="A7" s="48"/>
      <c r="B7" s="49"/>
    </row>
    <row r="8" spans="1:15" x14ac:dyDescent="0.25">
      <c r="B8" s="47" t="s">
        <v>55</v>
      </c>
    </row>
    <row r="9" spans="1:15" x14ac:dyDescent="0.25">
      <c r="B9" t="s">
        <v>48</v>
      </c>
    </row>
    <row r="10" spans="1:15" ht="45" x14ac:dyDescent="0.25">
      <c r="B10" s="50" t="s">
        <v>49</v>
      </c>
    </row>
    <row r="12" spans="1:15" x14ac:dyDescent="0.25">
      <c r="B12" s="47" t="s">
        <v>56</v>
      </c>
    </row>
    <row r="13" spans="1:15" ht="30" x14ac:dyDescent="0.25">
      <c r="B13" s="51" t="s">
        <v>59</v>
      </c>
    </row>
    <row r="14" spans="1:15" x14ac:dyDescent="0.25">
      <c r="B14" s="51"/>
      <c r="O14" s="58"/>
    </row>
    <row r="15" spans="1:15" x14ac:dyDescent="0.25">
      <c r="A15" t="s">
        <v>5</v>
      </c>
      <c r="B15" s="55">
        <v>506</v>
      </c>
    </row>
    <row r="16" spans="1:15" x14ac:dyDescent="0.25">
      <c r="A16" t="s">
        <v>45</v>
      </c>
      <c r="B16" s="56">
        <f>B15/25.4</f>
        <v>19.921259842519685</v>
      </c>
    </row>
    <row r="18" spans="2:2" x14ac:dyDescent="0.25">
      <c r="B18" s="47" t="s">
        <v>57</v>
      </c>
    </row>
    <row r="19" spans="2:2" ht="30" x14ac:dyDescent="0.25">
      <c r="B19" s="46" t="s">
        <v>58</v>
      </c>
    </row>
  </sheetData>
  <customSheetViews>
    <customSheetView guid="{0569136B-3B59-4622-A5A0-86B031190133}">
      <selection activeCell="L21" sqref="L21"/>
      <pageMargins left="0.7" right="0.7" top="0.75" bottom="0.75" header="0.3" footer="0.3"/>
      <pageSetup orientation="portrait" r:id="rId1"/>
    </customSheetView>
    <customSheetView guid="{D756B39F-0040-4C29-9A23-0D6EE33EF6FB}">
      <selection activeCell="L21" sqref="L21"/>
      <pageMargins left="0.7" right="0.7" top="0.75" bottom="0.75" header="0.3" footer="0.3"/>
      <pageSetup orientation="portrait" r:id="rId2"/>
    </customSheetView>
    <customSheetView guid="{B70FD742-4342-40D8-AE52-2B2E43FEFC45}">
      <selection activeCell="L21" sqref="L21"/>
      <pageMargins left="0.7" right="0.7" top="0.75" bottom="0.75" header="0.3" footer="0.3"/>
      <pageSetup orientation="portrait" r:id="rId3"/>
    </customSheetView>
  </customSheetViews>
  <hyperlinks>
    <hyperlink ref="B10" r:id="rId4" display="https://mghydro.com/watersheds/"/>
  </hyperlinks>
  <pageMargins left="0.7" right="0.7" top="0.75" bottom="0.75" header="0.3" footer="0.3"/>
  <pageSetup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workbookViewId="0">
      <selection activeCell="A41" sqref="A41"/>
    </sheetView>
  </sheetViews>
  <sheetFormatPr defaultRowHeight="15" x14ac:dyDescent="0.25"/>
  <cols>
    <col min="1" max="1" width="29.140625" style="6" customWidth="1"/>
    <col min="2" max="4" width="29.5703125" style="6" customWidth="1"/>
    <col min="5" max="5" width="18.5703125" style="6" customWidth="1"/>
    <col min="6" max="6" width="16.42578125" style="6" customWidth="1"/>
    <col min="7" max="7" width="18.42578125" style="6" customWidth="1"/>
    <col min="8" max="16384" width="9.140625" style="6"/>
  </cols>
  <sheetData>
    <row r="2" spans="1:6" x14ac:dyDescent="0.25">
      <c r="A2" s="59" t="s">
        <v>76</v>
      </c>
      <c r="B2" s="59" t="s">
        <v>62</v>
      </c>
      <c r="C2" s="59" t="s">
        <v>78</v>
      </c>
      <c r="D2" s="59" t="s">
        <v>80</v>
      </c>
      <c r="E2" s="59" t="s">
        <v>77</v>
      </c>
      <c r="F2" s="59" t="s">
        <v>81</v>
      </c>
    </row>
    <row r="3" spans="1:6" x14ac:dyDescent="0.25">
      <c r="A3" s="59"/>
      <c r="B3" s="59"/>
      <c r="C3" s="59"/>
      <c r="D3" s="59"/>
      <c r="E3" s="59"/>
    </row>
    <row r="4" spans="1:6" x14ac:dyDescent="0.25">
      <c r="A4" s="6" t="s">
        <v>63</v>
      </c>
      <c r="B4" s="6" t="s">
        <v>72</v>
      </c>
      <c r="C4" s="66">
        <v>580</v>
      </c>
      <c r="D4" s="67">
        <v>11287.683597665035</v>
      </c>
      <c r="E4" s="68">
        <v>22521.89</v>
      </c>
      <c r="F4" s="67">
        <v>44937.077791695454</v>
      </c>
    </row>
    <row r="5" spans="1:6" x14ac:dyDescent="0.25">
      <c r="A5" s="6" t="s">
        <v>64</v>
      </c>
      <c r="B5" s="6" t="s">
        <v>72</v>
      </c>
      <c r="C5" s="66">
        <v>340</v>
      </c>
      <c r="D5" s="67">
        <v>7711.0038367667958</v>
      </c>
      <c r="E5" s="68">
        <v>15385.48</v>
      </c>
      <c r="F5" s="67">
        <v>30698.05919582384</v>
      </c>
    </row>
    <row r="6" spans="1:6" x14ac:dyDescent="0.25">
      <c r="A6" s="6" t="s">
        <v>65</v>
      </c>
      <c r="B6" s="6" t="s">
        <v>72</v>
      </c>
      <c r="C6" s="66">
        <v>270</v>
      </c>
      <c r="D6" s="67">
        <v>6740.3423216799792</v>
      </c>
      <c r="E6" s="68">
        <v>13448.75</v>
      </c>
      <c r="F6" s="67">
        <v>26833.786102460061</v>
      </c>
    </row>
    <row r="7" spans="1:6" x14ac:dyDescent="0.25">
      <c r="A7" s="6" t="s">
        <v>66</v>
      </c>
      <c r="B7" s="6" t="s">
        <v>72</v>
      </c>
      <c r="C7" s="66">
        <v>26</v>
      </c>
      <c r="D7" s="67">
        <v>897.91465265658348</v>
      </c>
      <c r="E7" s="68">
        <v>1791.58</v>
      </c>
      <c r="F7" s="67">
        <v>3574.6626176763857</v>
      </c>
    </row>
    <row r="8" spans="1:6" x14ac:dyDescent="0.25">
      <c r="A8" s="6" t="s">
        <v>67</v>
      </c>
      <c r="B8" s="6" t="s">
        <v>72</v>
      </c>
      <c r="C8" s="66">
        <v>30</v>
      </c>
      <c r="D8" s="67">
        <v>1167.9917684866211</v>
      </c>
      <c r="E8" s="68">
        <v>2330.4499999999998</v>
      </c>
      <c r="F8" s="67">
        <v>4649.8589818198398</v>
      </c>
    </row>
    <row r="9" spans="1:6" x14ac:dyDescent="0.25">
      <c r="A9" s="6" t="s">
        <v>68</v>
      </c>
      <c r="B9" s="6" t="s">
        <v>72</v>
      </c>
      <c r="C9" s="66">
        <v>33</v>
      </c>
      <c r="D9" s="67">
        <v>1281.6897785438603</v>
      </c>
      <c r="E9" s="68">
        <v>2557.31</v>
      </c>
      <c r="F9" s="67">
        <v>5102.4989126343453</v>
      </c>
    </row>
    <row r="10" spans="1:6" x14ac:dyDescent="0.25">
      <c r="A10" s="6" t="s">
        <v>69</v>
      </c>
      <c r="B10" s="6" t="s">
        <v>72</v>
      </c>
      <c r="C10" s="66">
        <v>140</v>
      </c>
      <c r="D10" s="67">
        <v>3576.8828673662997</v>
      </c>
      <c r="E10" s="68">
        <v>7136.82</v>
      </c>
      <c r="F10" s="67">
        <v>14239.827177284798</v>
      </c>
    </row>
    <row r="11" spans="1:6" x14ac:dyDescent="0.25">
      <c r="A11" s="6" t="s">
        <v>70</v>
      </c>
      <c r="B11" s="6" t="s">
        <v>72</v>
      </c>
      <c r="C11" s="66">
        <v>200</v>
      </c>
      <c r="D11" s="67">
        <v>5166.8160776669838</v>
      </c>
      <c r="E11" s="68">
        <v>10309.15</v>
      </c>
      <c r="F11" s="67">
        <v>20569.465294503207</v>
      </c>
    </row>
    <row r="12" spans="1:6" x14ac:dyDescent="0.25">
      <c r="A12" s="6" t="s">
        <v>71</v>
      </c>
      <c r="B12" s="6" t="s">
        <v>72</v>
      </c>
      <c r="C12" s="66">
        <v>190</v>
      </c>
      <c r="D12" s="67">
        <v>5271.3598445736625</v>
      </c>
      <c r="E12" s="68">
        <v>10517.75</v>
      </c>
      <c r="F12" s="67">
        <v>20985.661526925433</v>
      </c>
    </row>
    <row r="13" spans="1:6" x14ac:dyDescent="0.25">
      <c r="A13" s="6" t="s">
        <v>73</v>
      </c>
      <c r="B13" s="6" t="s">
        <v>72</v>
      </c>
      <c r="C13" s="66">
        <v>5</v>
      </c>
      <c r="D13" s="67">
        <v>264.71756221621564</v>
      </c>
      <c r="E13" s="68">
        <v>528.17999999999995</v>
      </c>
      <c r="F13" s="67">
        <v>1053.8595968971692</v>
      </c>
    </row>
    <row r="14" spans="1:6" x14ac:dyDescent="0.25">
      <c r="A14" s="6" t="s">
        <v>74</v>
      </c>
      <c r="B14" s="6" t="s">
        <v>72</v>
      </c>
      <c r="C14" s="66">
        <v>10</v>
      </c>
      <c r="D14" s="67">
        <v>606.45529977693104</v>
      </c>
      <c r="E14" s="68">
        <v>1210.04</v>
      </c>
      <c r="F14" s="67">
        <v>2414.3420346136668</v>
      </c>
    </row>
    <row r="15" spans="1:6" x14ac:dyDescent="0.25">
      <c r="D15" s="67"/>
      <c r="E15" s="67"/>
      <c r="F15" s="67"/>
    </row>
    <row r="16" spans="1:6" x14ac:dyDescent="0.25">
      <c r="A16" s="6" t="s">
        <v>63</v>
      </c>
      <c r="B16" s="6" t="s">
        <v>79</v>
      </c>
      <c r="C16" s="6">
        <v>45</v>
      </c>
      <c r="D16" s="67">
        <v>1882.805975386374</v>
      </c>
      <c r="E16" s="68">
        <v>3757</v>
      </c>
      <c r="F16" s="67">
        <v>7495.5855956228661</v>
      </c>
    </row>
    <row r="17" spans="1:6" x14ac:dyDescent="0.25">
      <c r="A17" s="6" t="s">
        <v>64</v>
      </c>
      <c r="B17" s="6" t="s">
        <v>79</v>
      </c>
      <c r="C17" s="6">
        <v>51</v>
      </c>
      <c r="D17" s="67">
        <v>1926.3209844404937</v>
      </c>
      <c r="E17" s="68">
        <v>3844</v>
      </c>
      <c r="F17" s="67">
        <v>7668.8219669343207</v>
      </c>
    </row>
    <row r="18" spans="1:6" x14ac:dyDescent="0.25">
      <c r="A18" s="6" t="s">
        <v>65</v>
      </c>
      <c r="B18" s="6" t="s">
        <v>79</v>
      </c>
      <c r="C18" s="6">
        <v>10</v>
      </c>
      <c r="D18" s="67">
        <v>572.29808710351676</v>
      </c>
      <c r="E18" s="68">
        <v>1142</v>
      </c>
      <c r="F18" s="67">
        <v>2278.359721699599</v>
      </c>
    </row>
    <row r="19" spans="1:6" x14ac:dyDescent="0.25">
      <c r="A19" s="6" t="s">
        <v>66</v>
      </c>
      <c r="B19" s="6" t="s">
        <v>79</v>
      </c>
      <c r="C19" s="6">
        <v>89</v>
      </c>
      <c r="D19" s="67">
        <v>3063.3963842362209</v>
      </c>
      <c r="E19" s="68">
        <v>6112</v>
      </c>
      <c r="F19" s="67">
        <v>12195.600668120976</v>
      </c>
    </row>
    <row r="20" spans="1:6" x14ac:dyDescent="0.25">
      <c r="A20" s="6" t="s">
        <v>67</v>
      </c>
      <c r="B20" s="6" t="s">
        <v>79</v>
      </c>
      <c r="C20" s="6">
        <v>83</v>
      </c>
      <c r="D20" s="67">
        <v>2422.320975128298</v>
      </c>
      <c r="E20" s="68">
        <v>4833</v>
      </c>
      <c r="F20" s="67">
        <v>9643.4334958071468</v>
      </c>
    </row>
    <row r="21" spans="1:6" x14ac:dyDescent="0.25">
      <c r="A21" s="6" t="s">
        <v>68</v>
      </c>
      <c r="B21" s="6" t="s">
        <v>79</v>
      </c>
      <c r="C21" s="6">
        <v>10</v>
      </c>
      <c r="D21" s="67">
        <v>412.72751552623447</v>
      </c>
      <c r="E21" s="68">
        <v>823</v>
      </c>
      <c r="F21" s="67">
        <v>1643.0978341572361</v>
      </c>
    </row>
    <row r="22" spans="1:6" x14ac:dyDescent="0.25">
      <c r="A22" s="6" t="s">
        <v>69</v>
      </c>
      <c r="B22" s="6" t="s">
        <v>79</v>
      </c>
      <c r="C22" s="6">
        <v>190</v>
      </c>
      <c r="D22" s="67">
        <v>5313.5749089999535</v>
      </c>
      <c r="E22" s="68">
        <v>10602</v>
      </c>
      <c r="F22" s="67">
        <v>21153.722725460269</v>
      </c>
    </row>
    <row r="23" spans="1:6" x14ac:dyDescent="0.25">
      <c r="A23" s="6" t="s">
        <v>70</v>
      </c>
      <c r="B23" s="6" t="s">
        <v>79</v>
      </c>
      <c r="C23" s="6">
        <v>530</v>
      </c>
      <c r="D23" s="67">
        <v>10592.129526738345</v>
      </c>
      <c r="E23" s="68">
        <v>21134</v>
      </c>
      <c r="F23" s="67">
        <v>42168.027160259546</v>
      </c>
    </row>
    <row r="24" spans="1:6" x14ac:dyDescent="0.25">
      <c r="A24" s="6" t="s">
        <v>71</v>
      </c>
      <c r="B24" s="6" t="s">
        <v>79</v>
      </c>
      <c r="C24" s="6">
        <v>1500</v>
      </c>
      <c r="D24" s="67">
        <v>19845.72517986544</v>
      </c>
      <c r="E24" s="68">
        <v>39597</v>
      </c>
      <c r="F24" s="67">
        <v>79007.254989385227</v>
      </c>
    </row>
    <row r="25" spans="1:6" x14ac:dyDescent="0.25">
      <c r="A25" s="6" t="s">
        <v>73</v>
      </c>
      <c r="B25" s="6" t="s">
        <v>79</v>
      </c>
      <c r="C25" s="6">
        <v>1200</v>
      </c>
      <c r="D25" s="67">
        <v>18273.677190301754</v>
      </c>
      <c r="E25" s="68">
        <v>36461</v>
      </c>
      <c r="F25" s="67">
        <v>72748.819218390112</v>
      </c>
    </row>
    <row r="26" spans="1:6" x14ac:dyDescent="0.25">
      <c r="A26" s="6" t="s">
        <v>74</v>
      </c>
      <c r="B26" s="6" t="s">
        <v>79</v>
      </c>
      <c r="C26" s="6">
        <v>320</v>
      </c>
      <c r="D26" s="67">
        <v>7542.6036071293247</v>
      </c>
      <c r="E26" s="68">
        <v>15049</v>
      </c>
      <c r="F26" s="67">
        <v>30027.645806408509</v>
      </c>
    </row>
    <row r="27" spans="1:6" x14ac:dyDescent="0.25">
      <c r="A27" s="6" t="s">
        <v>75</v>
      </c>
      <c r="B27" s="6" t="s">
        <v>79</v>
      </c>
      <c r="C27" s="6">
        <v>170</v>
      </c>
      <c r="D27" s="67">
        <v>4018.9942305442778</v>
      </c>
      <c r="E27" s="68">
        <v>8019</v>
      </c>
      <c r="F27" s="67">
        <v>15999.904215928116</v>
      </c>
    </row>
  </sheetData>
  <customSheetViews>
    <customSheetView guid="{0569136B-3B59-4622-A5A0-86B031190133}" topLeftCell="C34">
      <selection activeCell="G65" sqref="G65"/>
      <pageMargins left="0.7" right="0.7" top="0.75" bottom="0.75" header="0.3" footer="0.3"/>
      <pageSetup orientation="portrait" r:id="rId1"/>
    </customSheetView>
    <customSheetView guid="{D756B39F-0040-4C29-9A23-0D6EE33EF6FB}" topLeftCell="A112">
      <selection activeCell="D129" sqref="D129"/>
      <pageMargins left="0.7" right="0.7" top="0.75" bottom="0.75" header="0.3" footer="0.3"/>
      <pageSetup orientation="portrait" r:id="rId2"/>
    </customSheetView>
    <customSheetView guid="{B70FD742-4342-40D8-AE52-2B2E43FEFC45}" topLeftCell="A31">
      <selection activeCell="A36" sqref="A36:XFD46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workbookViewId="0">
      <selection activeCell="F61" sqref="F61"/>
    </sheetView>
  </sheetViews>
  <sheetFormatPr defaultRowHeight="15" x14ac:dyDescent="0.25"/>
  <cols>
    <col min="1" max="1" width="9.28515625" bestFit="1" customWidth="1"/>
    <col min="2" max="2" width="16.140625" bestFit="1" customWidth="1"/>
    <col min="3" max="3" width="11.28515625" bestFit="1" customWidth="1"/>
    <col min="4" max="4" width="13" bestFit="1" customWidth="1"/>
    <col min="5" max="5" width="9.28515625" bestFit="1" customWidth="1"/>
    <col min="6" max="6" width="6.5703125" bestFit="1" customWidth="1"/>
    <col min="7" max="7" width="9.5703125" bestFit="1" customWidth="1"/>
    <col min="8" max="8" width="19" bestFit="1" customWidth="1"/>
    <col min="9" max="9" width="21.42578125" bestFit="1" customWidth="1"/>
    <col min="10" max="10" width="34.140625" bestFit="1" customWidth="1"/>
    <col min="11" max="11" width="13.7109375" bestFit="1" customWidth="1"/>
    <col min="12" max="12" width="7.85546875" bestFit="1" customWidth="1"/>
    <col min="13" max="13" width="12.140625" bestFit="1" customWidth="1"/>
    <col min="14" max="14" width="10" bestFit="1" customWidth="1"/>
    <col min="16" max="16" width="22.5703125" bestFit="1" customWidth="1"/>
  </cols>
  <sheetData>
    <row r="1" spans="1:16" ht="18.75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P1" s="63"/>
    </row>
    <row r="2" spans="1:16" ht="15.75" x14ac:dyDescent="0.25">
      <c r="A2" s="6"/>
      <c r="B2" s="6"/>
      <c r="C2" s="6"/>
      <c r="D2" s="15"/>
      <c r="E2" s="15"/>
      <c r="F2" s="19"/>
      <c r="G2" s="45"/>
      <c r="H2" s="64"/>
      <c r="I2" s="65"/>
      <c r="J2" s="13"/>
      <c r="K2" s="13"/>
      <c r="L2" s="60"/>
      <c r="M2" s="25"/>
      <c r="N2" s="14"/>
      <c r="O2" s="6"/>
      <c r="P2" s="61"/>
    </row>
    <row r="3" spans="1:16" ht="15.75" x14ac:dyDescent="0.25">
      <c r="A3" s="6"/>
      <c r="B3" s="6"/>
      <c r="C3" s="6"/>
      <c r="D3" s="6"/>
      <c r="E3" s="6"/>
      <c r="F3" s="19"/>
      <c r="G3" s="45"/>
      <c r="H3" s="64"/>
      <c r="I3" s="65"/>
      <c r="J3" s="13"/>
      <c r="K3" s="13"/>
      <c r="L3" s="60"/>
      <c r="M3" s="25"/>
      <c r="N3" s="14"/>
      <c r="O3" s="6"/>
      <c r="P3" s="61"/>
    </row>
    <row r="4" spans="1:16" ht="15.75" x14ac:dyDescent="0.25">
      <c r="A4" s="6"/>
      <c r="B4" s="6"/>
      <c r="C4" s="6"/>
      <c r="D4" s="6"/>
      <c r="E4" s="6"/>
      <c r="F4" s="19"/>
      <c r="G4" s="45"/>
      <c r="H4" s="64"/>
      <c r="I4" s="65"/>
      <c r="J4" s="13"/>
      <c r="K4" s="13"/>
      <c r="L4" s="60"/>
      <c r="M4" s="25"/>
      <c r="N4" s="14"/>
      <c r="O4" s="6"/>
      <c r="P4" s="61"/>
    </row>
    <row r="5" spans="1:16" ht="15.75" x14ac:dyDescent="0.25">
      <c r="A5" s="6"/>
      <c r="B5" s="6"/>
      <c r="C5" s="6"/>
      <c r="D5" s="15"/>
      <c r="E5" s="15"/>
      <c r="F5" s="19"/>
      <c r="G5" s="45"/>
      <c r="H5" s="64"/>
      <c r="I5" s="65"/>
      <c r="J5" s="13"/>
      <c r="K5" s="13"/>
      <c r="L5" s="60"/>
      <c r="M5" s="25"/>
      <c r="N5" s="14"/>
      <c r="O5" s="6"/>
      <c r="P5" s="61"/>
    </row>
    <row r="6" spans="1:16" ht="15.75" x14ac:dyDescent="0.25">
      <c r="A6" s="6"/>
      <c r="B6" s="6"/>
      <c r="C6" s="6"/>
      <c r="D6" s="6"/>
      <c r="E6" s="6"/>
      <c r="F6" s="19"/>
      <c r="G6" s="6"/>
      <c r="H6" s="64"/>
      <c r="I6" s="65"/>
      <c r="J6" s="13"/>
      <c r="K6" s="13"/>
      <c r="L6" s="60"/>
      <c r="M6" s="25"/>
      <c r="N6" s="14"/>
      <c r="O6" s="6"/>
      <c r="P6" s="61"/>
    </row>
    <row r="7" spans="1:16" ht="15.75" x14ac:dyDescent="0.25">
      <c r="A7" s="6"/>
      <c r="B7" s="6"/>
      <c r="C7" s="6"/>
      <c r="D7" s="6"/>
      <c r="E7" s="6"/>
      <c r="F7" s="19"/>
      <c r="G7" s="6"/>
      <c r="H7" s="64"/>
      <c r="I7" s="65"/>
      <c r="J7" s="13"/>
      <c r="K7" s="13"/>
      <c r="L7" s="60"/>
      <c r="M7" s="25"/>
      <c r="N7" s="14"/>
      <c r="O7" s="6"/>
      <c r="P7" s="61"/>
    </row>
    <row r="8" spans="1:16" ht="15.75" x14ac:dyDescent="0.25">
      <c r="A8" s="6"/>
      <c r="B8" s="6"/>
      <c r="C8" s="6"/>
      <c r="D8" s="6"/>
      <c r="E8" s="6"/>
      <c r="F8" s="19"/>
      <c r="G8" s="6"/>
      <c r="H8" s="64"/>
      <c r="I8" s="65"/>
      <c r="J8" s="13"/>
      <c r="K8" s="13"/>
      <c r="L8" s="60"/>
      <c r="M8" s="25"/>
      <c r="N8" s="14"/>
      <c r="O8" s="6"/>
      <c r="P8" s="61"/>
    </row>
    <row r="9" spans="1:16" ht="15.75" x14ac:dyDescent="0.25">
      <c r="A9" s="6"/>
      <c r="B9" s="6"/>
      <c r="C9" s="6"/>
      <c r="D9" s="6"/>
      <c r="E9" s="6"/>
      <c r="F9" s="19"/>
      <c r="G9" s="6"/>
      <c r="H9" s="64"/>
      <c r="I9" s="65"/>
      <c r="J9" s="13"/>
      <c r="K9" s="13"/>
      <c r="L9" s="60"/>
      <c r="M9" s="25"/>
      <c r="N9" s="14"/>
      <c r="O9" s="6"/>
      <c r="P9" s="61"/>
    </row>
    <row r="10" spans="1:16" ht="15.75" x14ac:dyDescent="0.25">
      <c r="A10" s="6"/>
      <c r="B10" s="6"/>
      <c r="C10" s="6"/>
      <c r="D10" s="6"/>
      <c r="E10" s="6"/>
      <c r="F10" s="19"/>
      <c r="G10" s="6"/>
      <c r="H10" s="64"/>
      <c r="I10" s="65"/>
      <c r="J10" s="13"/>
      <c r="K10" s="13"/>
      <c r="L10" s="60"/>
      <c r="M10" s="25"/>
      <c r="N10" s="14"/>
      <c r="O10" s="6"/>
      <c r="P10" s="61"/>
    </row>
    <row r="11" spans="1:16" ht="15.75" x14ac:dyDescent="0.25">
      <c r="A11" s="6"/>
      <c r="B11" s="6"/>
      <c r="C11" s="6"/>
      <c r="D11" s="6"/>
      <c r="E11" s="6"/>
      <c r="F11" s="19"/>
      <c r="G11" s="6"/>
      <c r="H11" s="6"/>
      <c r="I11" s="6"/>
      <c r="J11" s="6"/>
      <c r="K11" s="6"/>
      <c r="L11" s="6"/>
      <c r="M11" s="6"/>
      <c r="N11" s="6"/>
      <c r="O11" s="6"/>
      <c r="P11" s="61"/>
    </row>
    <row r="12" spans="1:16" ht="15.75" x14ac:dyDescent="0.25">
      <c r="A12" s="6"/>
      <c r="B12" s="6"/>
      <c r="C12" s="6"/>
      <c r="D12" s="6"/>
      <c r="E12" s="6"/>
      <c r="F12" s="19"/>
      <c r="G12" s="6"/>
      <c r="H12" s="64"/>
      <c r="I12" s="65"/>
      <c r="J12" s="13"/>
      <c r="K12" s="13"/>
      <c r="L12" s="60"/>
      <c r="M12" s="25"/>
      <c r="N12" s="14"/>
      <c r="O12" s="6"/>
      <c r="P12" s="61"/>
    </row>
    <row r="13" spans="1:16" ht="15.75" x14ac:dyDescent="0.25">
      <c r="A13" s="6"/>
      <c r="B13" s="6"/>
      <c r="C13" s="6"/>
      <c r="D13" s="6"/>
      <c r="E13" s="6"/>
      <c r="F13" s="19"/>
      <c r="G13" s="6"/>
      <c r="H13" s="64"/>
      <c r="I13" s="65"/>
      <c r="J13" s="13"/>
      <c r="K13" s="13"/>
      <c r="L13" s="60"/>
      <c r="M13" s="25"/>
      <c r="N13" s="14"/>
      <c r="O13" s="6"/>
      <c r="P13" s="61"/>
    </row>
    <row r="14" spans="1:16" ht="15.75" x14ac:dyDescent="0.25">
      <c r="A14" s="6"/>
      <c r="B14" s="6"/>
      <c r="C14" s="6"/>
      <c r="D14" s="6"/>
      <c r="E14" s="6"/>
      <c r="F14" s="19"/>
      <c r="G14" s="6"/>
      <c r="H14" s="64"/>
      <c r="I14" s="65"/>
      <c r="J14" s="13"/>
      <c r="K14" s="13"/>
      <c r="L14" s="60"/>
      <c r="M14" s="25"/>
      <c r="N14" s="14"/>
      <c r="O14" s="6"/>
      <c r="P14" s="61"/>
    </row>
    <row r="15" spans="1:16" ht="15.75" x14ac:dyDescent="0.25">
      <c r="A15" s="6"/>
      <c r="B15" s="6"/>
      <c r="C15" s="6"/>
      <c r="D15" s="6"/>
      <c r="E15" s="6"/>
      <c r="F15" s="19"/>
      <c r="G15" s="6"/>
      <c r="H15" s="64"/>
      <c r="I15" s="65"/>
      <c r="J15" s="13"/>
      <c r="K15" s="13"/>
      <c r="L15" s="60"/>
      <c r="M15" s="25"/>
      <c r="N15" s="14"/>
      <c r="O15" s="6"/>
      <c r="P15" s="61"/>
    </row>
    <row r="16" spans="1:16" ht="15.75" x14ac:dyDescent="0.25">
      <c r="A16" s="6"/>
      <c r="B16" s="6"/>
      <c r="C16" s="6"/>
      <c r="D16" s="6"/>
      <c r="E16" s="6"/>
      <c r="F16" s="19"/>
      <c r="G16" s="6"/>
      <c r="H16" s="64"/>
      <c r="I16" s="65"/>
      <c r="J16" s="13"/>
      <c r="K16" s="13"/>
      <c r="L16" s="60"/>
      <c r="M16" s="25"/>
      <c r="N16" s="14"/>
      <c r="O16" s="6"/>
      <c r="P16" s="61"/>
    </row>
    <row r="17" spans="1:16" ht="15.75" x14ac:dyDescent="0.25">
      <c r="A17" s="6"/>
      <c r="B17" s="6"/>
      <c r="C17" s="6"/>
      <c r="D17" s="6"/>
      <c r="E17" s="6"/>
      <c r="F17" s="19"/>
      <c r="G17" s="6"/>
      <c r="H17" s="64"/>
      <c r="I17" s="65"/>
      <c r="J17" s="13"/>
      <c r="K17" s="13"/>
      <c r="L17" s="60"/>
      <c r="M17" s="25"/>
      <c r="N17" s="14"/>
      <c r="O17" s="6"/>
      <c r="P17" s="61"/>
    </row>
    <row r="18" spans="1:16" ht="15.75" x14ac:dyDescent="0.25">
      <c r="A18" s="6"/>
      <c r="B18" s="6"/>
      <c r="C18" s="6"/>
      <c r="D18" s="6"/>
      <c r="E18" s="6"/>
      <c r="F18" s="19"/>
      <c r="G18" s="6"/>
      <c r="H18" s="64"/>
      <c r="I18" s="65"/>
      <c r="J18" s="13"/>
      <c r="K18" s="13"/>
      <c r="L18" s="60"/>
      <c r="M18" s="25"/>
      <c r="N18" s="14"/>
      <c r="O18" s="6"/>
      <c r="P18" s="61"/>
    </row>
    <row r="19" spans="1:16" ht="15.75" x14ac:dyDescent="0.25">
      <c r="A19" s="6"/>
      <c r="B19" s="6"/>
      <c r="C19" s="6"/>
      <c r="D19" s="6"/>
      <c r="E19" s="6"/>
      <c r="F19" s="19"/>
      <c r="G19" s="6"/>
      <c r="H19" s="64"/>
      <c r="I19" s="65"/>
      <c r="J19" s="13"/>
      <c r="K19" s="13"/>
      <c r="L19" s="60"/>
      <c r="M19" s="25"/>
      <c r="N19" s="14"/>
      <c r="O19" s="6"/>
      <c r="P19" s="61"/>
    </row>
    <row r="20" spans="1:16" ht="15.75" x14ac:dyDescent="0.25">
      <c r="A20" s="6"/>
      <c r="B20" s="6"/>
      <c r="C20" s="6"/>
      <c r="D20" s="6"/>
      <c r="E20" s="6"/>
      <c r="F20" s="19"/>
      <c r="G20" s="6"/>
      <c r="H20" s="64"/>
      <c r="I20" s="65"/>
      <c r="J20" s="13"/>
      <c r="K20" s="13"/>
      <c r="L20" s="60"/>
      <c r="M20" s="25"/>
      <c r="N20" s="14"/>
      <c r="O20" s="6"/>
      <c r="P20" s="61"/>
    </row>
    <row r="21" spans="1:16" ht="15.75" x14ac:dyDescent="0.25">
      <c r="A21" s="6"/>
      <c r="B21" s="6"/>
      <c r="C21" s="6"/>
      <c r="D21" s="6"/>
      <c r="E21" s="6"/>
      <c r="F21" s="19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5.75" x14ac:dyDescent="0.25">
      <c r="A22" s="6"/>
      <c r="B22" s="6"/>
      <c r="C22" s="6"/>
      <c r="D22" s="6"/>
      <c r="E22" s="6"/>
      <c r="F22" s="19"/>
      <c r="G22" s="6"/>
      <c r="H22" s="64"/>
      <c r="I22" s="65"/>
      <c r="J22" s="13"/>
      <c r="K22" s="13"/>
      <c r="L22" s="60"/>
      <c r="M22" s="25"/>
      <c r="N22" s="14"/>
      <c r="O22" s="6"/>
      <c r="P22" s="61"/>
    </row>
    <row r="23" spans="1:16" ht="15.75" x14ac:dyDescent="0.25">
      <c r="A23" s="6"/>
      <c r="B23" s="6"/>
      <c r="C23" s="6"/>
      <c r="D23" s="6"/>
      <c r="E23" s="6"/>
      <c r="F23" s="19"/>
      <c r="G23" s="6"/>
      <c r="H23" s="64"/>
      <c r="I23" s="65"/>
      <c r="J23" s="13"/>
      <c r="K23" s="13"/>
      <c r="L23" s="60"/>
      <c r="M23" s="25"/>
      <c r="N23" s="14"/>
      <c r="O23" s="6"/>
      <c r="P23" s="61"/>
    </row>
    <row r="24" spans="1:16" ht="15.75" x14ac:dyDescent="0.25">
      <c r="A24" s="6"/>
      <c r="B24" s="6"/>
      <c r="C24" s="6"/>
      <c r="D24" s="6"/>
      <c r="E24" s="6"/>
      <c r="F24" s="19"/>
      <c r="G24" s="6"/>
      <c r="H24" s="64"/>
      <c r="I24" s="65"/>
      <c r="J24" s="13"/>
      <c r="K24" s="13"/>
      <c r="L24" s="60"/>
      <c r="M24" s="25"/>
      <c r="N24" s="14"/>
      <c r="O24" s="6"/>
      <c r="P24" s="61"/>
    </row>
    <row r="25" spans="1:16" ht="15.75" x14ac:dyDescent="0.25">
      <c r="A25" s="6"/>
      <c r="B25" s="6"/>
      <c r="C25" s="6"/>
      <c r="D25" s="6"/>
      <c r="E25" s="6"/>
      <c r="F25" s="19"/>
      <c r="G25" s="6"/>
      <c r="H25" s="64"/>
      <c r="I25" s="65"/>
      <c r="J25" s="13"/>
      <c r="K25" s="13"/>
      <c r="L25" s="60"/>
      <c r="M25" s="25"/>
      <c r="N25" s="14"/>
      <c r="O25" s="6"/>
      <c r="P25" s="61"/>
    </row>
    <row r="26" spans="1:16" ht="15.75" x14ac:dyDescent="0.25">
      <c r="A26" s="6"/>
      <c r="B26" s="6"/>
      <c r="C26" s="6"/>
      <c r="D26" s="6"/>
      <c r="E26" s="6"/>
      <c r="F26" s="19"/>
      <c r="G26" s="6"/>
      <c r="H26" s="64"/>
      <c r="I26" s="65"/>
      <c r="J26" s="13"/>
      <c r="K26" s="13"/>
      <c r="L26" s="60"/>
      <c r="M26" s="25"/>
      <c r="N26" s="14"/>
      <c r="O26" s="6"/>
      <c r="P26" s="61"/>
    </row>
    <row r="27" spans="1:16" ht="15.75" x14ac:dyDescent="0.25">
      <c r="A27" s="6"/>
      <c r="B27" s="6"/>
      <c r="C27" s="6"/>
      <c r="D27" s="6"/>
      <c r="E27" s="6"/>
      <c r="F27" s="19"/>
      <c r="G27" s="6"/>
      <c r="H27" s="64"/>
      <c r="I27" s="65"/>
      <c r="J27" s="13"/>
      <c r="K27" s="13"/>
      <c r="L27" s="60"/>
      <c r="M27" s="25"/>
      <c r="N27" s="14"/>
      <c r="O27" s="6"/>
      <c r="P27" s="61"/>
    </row>
    <row r="28" spans="1:16" ht="15.75" x14ac:dyDescent="0.25">
      <c r="A28" s="6"/>
      <c r="B28" s="6"/>
      <c r="C28" s="6"/>
      <c r="D28" s="6"/>
      <c r="E28" s="6"/>
      <c r="F28" s="19"/>
      <c r="G28" s="6"/>
      <c r="H28" s="64"/>
      <c r="I28" s="65"/>
      <c r="J28" s="13"/>
      <c r="K28" s="13"/>
      <c r="L28" s="60"/>
      <c r="M28" s="25"/>
      <c r="N28" s="14"/>
      <c r="O28" s="6"/>
      <c r="P28" s="61"/>
    </row>
    <row r="29" spans="1:16" ht="15.75" x14ac:dyDescent="0.25">
      <c r="A29" s="6"/>
      <c r="B29" s="6"/>
      <c r="C29" s="6"/>
      <c r="D29" s="6"/>
      <c r="E29" s="6"/>
      <c r="F29" s="19"/>
      <c r="G29" s="6"/>
      <c r="H29" s="64"/>
      <c r="I29" s="65"/>
      <c r="J29" s="13"/>
      <c r="K29" s="13"/>
      <c r="L29" s="60"/>
      <c r="M29" s="25"/>
      <c r="N29" s="14"/>
      <c r="O29" s="6"/>
      <c r="P29" s="61"/>
    </row>
    <row r="30" spans="1:16" ht="15.75" x14ac:dyDescent="0.25">
      <c r="A30" s="6"/>
      <c r="B30" s="6"/>
      <c r="C30" s="6"/>
      <c r="D30" s="6"/>
      <c r="E30" s="6"/>
      <c r="F30" s="19"/>
      <c r="G30" s="6"/>
      <c r="H30" s="64"/>
      <c r="I30" s="65"/>
      <c r="J30" s="13"/>
      <c r="K30" s="13"/>
      <c r="L30" s="60"/>
      <c r="M30" s="25"/>
      <c r="N30" s="14"/>
      <c r="O30" s="6"/>
      <c r="P30" s="61"/>
    </row>
    <row r="31" spans="1:16" ht="15.75" x14ac:dyDescent="0.25">
      <c r="A31" s="6"/>
      <c r="B31" s="6"/>
      <c r="C31" s="6"/>
      <c r="D31" s="6"/>
      <c r="E31" s="6"/>
      <c r="F31" s="19"/>
      <c r="G31" s="6"/>
      <c r="H31" s="64"/>
      <c r="I31" s="65"/>
      <c r="J31" s="13"/>
      <c r="K31" s="13"/>
      <c r="L31" s="60"/>
      <c r="M31" s="25"/>
      <c r="N31" s="14"/>
      <c r="O31" s="6"/>
      <c r="P31" s="61"/>
    </row>
    <row r="32" spans="1:16" ht="15.75" x14ac:dyDescent="0.25">
      <c r="A32" s="6"/>
      <c r="B32" s="6"/>
      <c r="C32" s="6"/>
      <c r="D32" s="6"/>
      <c r="E32" s="6"/>
      <c r="F32" s="19"/>
      <c r="G32" s="6"/>
      <c r="H32" s="64"/>
      <c r="I32" s="65"/>
      <c r="J32" s="13"/>
      <c r="K32" s="13"/>
      <c r="L32" s="60"/>
      <c r="M32" s="25"/>
      <c r="N32" s="14"/>
      <c r="O32" s="6"/>
      <c r="P32" s="61"/>
    </row>
    <row r="33" spans="1:16" ht="15.75" x14ac:dyDescent="0.25">
      <c r="A33" s="6"/>
      <c r="B33" s="6"/>
      <c r="C33" s="6"/>
      <c r="D33" s="6"/>
      <c r="E33" s="6"/>
      <c r="F33" s="19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ht="15.75" x14ac:dyDescent="0.25">
      <c r="A34" s="6"/>
      <c r="B34" s="6"/>
      <c r="C34" s="6"/>
      <c r="D34" s="6"/>
      <c r="E34" s="6"/>
      <c r="F34" s="19"/>
      <c r="G34" s="6"/>
      <c r="H34" s="64"/>
      <c r="I34" s="65"/>
      <c r="J34" s="13"/>
      <c r="K34" s="13"/>
      <c r="L34" s="60"/>
      <c r="M34" s="25"/>
      <c r="N34" s="14"/>
      <c r="O34" s="6"/>
      <c r="P34" s="61"/>
    </row>
    <row r="35" spans="1:16" ht="15.75" x14ac:dyDescent="0.25">
      <c r="A35" s="6"/>
      <c r="B35" s="6"/>
      <c r="C35" s="6"/>
      <c r="D35" s="6"/>
      <c r="E35" s="6"/>
      <c r="F35" s="19"/>
      <c r="G35" s="6"/>
      <c r="H35" s="64"/>
      <c r="I35" s="65"/>
      <c r="J35" s="13"/>
      <c r="K35" s="13"/>
      <c r="L35" s="60"/>
      <c r="M35" s="25"/>
      <c r="N35" s="14"/>
      <c r="O35" s="6"/>
      <c r="P35" s="61"/>
    </row>
    <row r="36" spans="1:16" ht="15.75" x14ac:dyDescent="0.25">
      <c r="A36" s="6"/>
      <c r="B36" s="6"/>
      <c r="C36" s="6"/>
      <c r="D36" s="6"/>
      <c r="E36" s="6"/>
      <c r="F36" s="19"/>
      <c r="G36" s="6"/>
      <c r="H36" s="64"/>
      <c r="I36" s="65"/>
      <c r="J36" s="13"/>
      <c r="K36" s="13"/>
      <c r="L36" s="60"/>
      <c r="M36" s="25"/>
      <c r="N36" s="14"/>
      <c r="O36" s="6"/>
      <c r="P36" s="61"/>
    </row>
    <row r="37" spans="1:16" ht="15.75" x14ac:dyDescent="0.25">
      <c r="A37" s="6"/>
      <c r="B37" s="6"/>
      <c r="C37" s="6"/>
      <c r="D37" s="6"/>
      <c r="E37" s="6"/>
      <c r="F37" s="19"/>
      <c r="G37" s="6"/>
      <c r="H37" s="64"/>
      <c r="I37" s="65"/>
      <c r="J37" s="13"/>
      <c r="K37" s="13"/>
      <c r="L37" s="60"/>
      <c r="M37" s="25"/>
      <c r="N37" s="14"/>
      <c r="O37" s="6"/>
      <c r="P37" s="61"/>
    </row>
    <row r="38" spans="1:16" ht="15.75" x14ac:dyDescent="0.25">
      <c r="A38" s="6"/>
      <c r="B38" s="6"/>
      <c r="C38" s="6"/>
      <c r="D38" s="6"/>
      <c r="E38" s="6"/>
      <c r="F38" s="19"/>
      <c r="G38" s="6"/>
      <c r="H38" s="64"/>
      <c r="I38" s="65"/>
      <c r="J38" s="13"/>
      <c r="K38" s="13"/>
      <c r="L38" s="60"/>
      <c r="M38" s="25"/>
      <c r="N38" s="14"/>
      <c r="O38" s="6"/>
      <c r="P38" s="61"/>
    </row>
    <row r="39" spans="1:16" ht="15.75" x14ac:dyDescent="0.25">
      <c r="A39" s="6"/>
      <c r="B39" s="6"/>
      <c r="C39" s="6"/>
      <c r="D39" s="6"/>
      <c r="E39" s="6"/>
      <c r="F39" s="19"/>
      <c r="G39" s="6"/>
      <c r="H39" s="64"/>
      <c r="I39" s="65"/>
      <c r="J39" s="13"/>
      <c r="K39" s="13"/>
      <c r="L39" s="60"/>
      <c r="M39" s="25"/>
      <c r="N39" s="14"/>
      <c r="O39" s="6"/>
      <c r="P39" s="61"/>
    </row>
    <row r="40" spans="1:16" ht="15.75" x14ac:dyDescent="0.25">
      <c r="A40" s="6"/>
      <c r="B40" s="6"/>
      <c r="C40" s="6"/>
      <c r="D40" s="6"/>
      <c r="E40" s="6"/>
      <c r="F40" s="19"/>
      <c r="G40" s="6"/>
      <c r="H40" s="64"/>
      <c r="I40" s="65"/>
      <c r="J40" s="13"/>
      <c r="K40" s="13"/>
      <c r="L40" s="60"/>
      <c r="M40" s="25"/>
      <c r="N40" s="14"/>
      <c r="O40" s="6"/>
      <c r="P40" s="61"/>
    </row>
    <row r="41" spans="1:16" ht="15.75" x14ac:dyDescent="0.25">
      <c r="A41" s="6"/>
      <c r="B41" s="6"/>
      <c r="C41" s="6"/>
      <c r="D41" s="6"/>
      <c r="E41" s="6"/>
      <c r="F41" s="19"/>
      <c r="G41" s="6"/>
      <c r="H41" s="64"/>
      <c r="I41" s="65"/>
      <c r="J41" s="13"/>
      <c r="K41" s="13"/>
      <c r="L41" s="60"/>
      <c r="M41" s="25"/>
      <c r="N41" s="14"/>
      <c r="O41" s="6"/>
      <c r="P41" s="61"/>
    </row>
    <row r="42" spans="1:16" ht="15.75" x14ac:dyDescent="0.25">
      <c r="A42" s="6"/>
      <c r="B42" s="6"/>
      <c r="C42" s="6"/>
      <c r="D42" s="6"/>
      <c r="E42" s="6"/>
      <c r="F42" s="19"/>
      <c r="G42" s="6"/>
      <c r="H42" s="64"/>
      <c r="I42" s="65"/>
      <c r="J42" s="13"/>
      <c r="K42" s="13"/>
      <c r="L42" s="60"/>
      <c r="M42" s="25"/>
      <c r="N42" s="14"/>
      <c r="O42" s="6"/>
      <c r="P42" s="61"/>
    </row>
    <row r="43" spans="1:16" ht="15.75" x14ac:dyDescent="0.25">
      <c r="A43" s="6"/>
      <c r="B43" s="6"/>
      <c r="C43" s="6"/>
      <c r="D43" s="6"/>
      <c r="E43" s="6"/>
      <c r="F43" s="19"/>
      <c r="G43" s="6"/>
      <c r="H43" s="64"/>
      <c r="I43" s="65"/>
      <c r="J43" s="13"/>
      <c r="K43" s="13"/>
      <c r="L43" s="60"/>
      <c r="M43" s="25"/>
      <c r="N43" s="14"/>
      <c r="O43" s="6"/>
      <c r="P43" s="61"/>
    </row>
    <row r="44" spans="1:16" ht="15.75" x14ac:dyDescent="0.25">
      <c r="A44" s="6"/>
      <c r="B44" s="6"/>
      <c r="C44" s="6"/>
      <c r="D44" s="6"/>
      <c r="E44" s="6"/>
      <c r="F44" s="19"/>
      <c r="G44" s="6"/>
      <c r="H44" s="64"/>
      <c r="I44" s="65"/>
      <c r="J44" s="13"/>
      <c r="K44" s="13"/>
      <c r="L44" s="60"/>
      <c r="M44" s="25"/>
      <c r="N44" s="14"/>
      <c r="O44" s="6"/>
      <c r="P44" s="61"/>
    </row>
    <row r="45" spans="1:16" ht="15.75" x14ac:dyDescent="0.25">
      <c r="A45" s="6"/>
      <c r="B45" s="6"/>
      <c r="C45" s="6"/>
      <c r="D45" s="6"/>
      <c r="E45" s="6"/>
      <c r="F45" s="19"/>
      <c r="G45" s="6"/>
      <c r="H45" s="6"/>
      <c r="I45" s="6"/>
      <c r="J45" s="6"/>
      <c r="K45" s="6"/>
      <c r="L45" s="6"/>
      <c r="M45" s="6"/>
      <c r="N45" s="6"/>
      <c r="O45" s="6"/>
      <c r="P45" s="61"/>
    </row>
    <row r="46" spans="1:16" ht="15.75" x14ac:dyDescent="0.25">
      <c r="A46" s="6"/>
      <c r="B46" s="6"/>
      <c r="C46" s="6"/>
      <c r="D46" s="6"/>
      <c r="E46" s="6"/>
      <c r="F46" s="19"/>
      <c r="G46" s="6"/>
      <c r="H46" s="64"/>
      <c r="I46" s="65"/>
      <c r="J46" s="13"/>
      <c r="K46" s="13"/>
      <c r="L46" s="60"/>
      <c r="M46" s="25"/>
      <c r="N46" s="14"/>
      <c r="O46" s="6"/>
      <c r="P46" s="61"/>
    </row>
    <row r="47" spans="1:16" ht="15.75" x14ac:dyDescent="0.25">
      <c r="A47" s="6"/>
      <c r="B47" s="6"/>
      <c r="C47" s="6"/>
      <c r="D47" s="6"/>
      <c r="E47" s="6"/>
      <c r="F47" s="19"/>
      <c r="G47" s="6"/>
      <c r="H47" s="64"/>
      <c r="I47" s="65"/>
      <c r="J47" s="13"/>
      <c r="K47" s="13"/>
      <c r="L47" s="60"/>
      <c r="M47" s="25"/>
      <c r="N47" s="14"/>
      <c r="O47" s="6"/>
      <c r="P47" s="61"/>
    </row>
    <row r="48" spans="1:16" ht="15.75" x14ac:dyDescent="0.25">
      <c r="A48" s="6"/>
      <c r="B48" s="6"/>
      <c r="C48" s="6"/>
      <c r="D48" s="6"/>
      <c r="E48" s="6"/>
      <c r="F48" s="19"/>
      <c r="G48" s="6"/>
      <c r="H48" s="64"/>
      <c r="I48" s="65"/>
      <c r="J48" s="13"/>
      <c r="K48" s="13"/>
      <c r="L48" s="60"/>
      <c r="M48" s="25"/>
      <c r="N48" s="14"/>
      <c r="O48" s="6"/>
      <c r="P48" s="61"/>
    </row>
    <row r="49" spans="1:16" ht="15.75" x14ac:dyDescent="0.25">
      <c r="A49" s="6"/>
      <c r="B49" s="6"/>
      <c r="C49" s="6"/>
      <c r="D49" s="6"/>
      <c r="E49" s="6"/>
      <c r="F49" s="19"/>
      <c r="G49" s="6"/>
      <c r="H49" s="64"/>
      <c r="I49" s="65"/>
      <c r="J49" s="13"/>
      <c r="K49" s="13"/>
      <c r="L49" s="60"/>
      <c r="M49" s="25"/>
      <c r="N49" s="14"/>
      <c r="O49" s="6"/>
      <c r="P49" s="61"/>
    </row>
    <row r="50" spans="1:16" ht="15.75" x14ac:dyDescent="0.25">
      <c r="A50" s="6"/>
      <c r="B50" s="6"/>
      <c r="C50" s="6"/>
      <c r="D50" s="6"/>
      <c r="E50" s="6"/>
      <c r="F50" s="19"/>
      <c r="G50" s="6"/>
      <c r="H50" s="64"/>
      <c r="I50" s="65"/>
      <c r="J50" s="13"/>
      <c r="K50" s="13"/>
      <c r="L50" s="60"/>
      <c r="M50" s="25"/>
      <c r="N50" s="14"/>
      <c r="O50" s="6"/>
      <c r="P50" s="61"/>
    </row>
    <row r="51" spans="1:16" ht="15.75" x14ac:dyDescent="0.25">
      <c r="A51" s="6"/>
      <c r="B51" s="6"/>
      <c r="C51" s="6"/>
      <c r="D51" s="6"/>
      <c r="E51" s="6"/>
      <c r="F51" s="19"/>
      <c r="G51" s="6"/>
      <c r="H51" s="64"/>
      <c r="I51" s="65"/>
      <c r="J51" s="13"/>
      <c r="K51" s="13"/>
      <c r="L51" s="60"/>
      <c r="M51" s="25"/>
      <c r="N51" s="14"/>
      <c r="O51" s="6"/>
      <c r="P51" s="61"/>
    </row>
    <row r="52" spans="1:16" ht="15.75" x14ac:dyDescent="0.25">
      <c r="A52" s="6"/>
      <c r="B52" s="6"/>
      <c r="C52" s="6"/>
      <c r="D52" s="6"/>
      <c r="E52" s="6"/>
      <c r="F52" s="19"/>
      <c r="G52" s="6"/>
      <c r="H52" s="6"/>
      <c r="I52" s="6"/>
      <c r="J52" s="6"/>
      <c r="K52" s="6"/>
      <c r="L52" s="6"/>
      <c r="M52" s="6"/>
      <c r="N52" s="6"/>
      <c r="O52" s="6"/>
      <c r="P52" s="61"/>
    </row>
    <row r="53" spans="1:16" ht="15.75" x14ac:dyDescent="0.25">
      <c r="A53" s="6"/>
      <c r="B53" s="6"/>
      <c r="C53" s="6"/>
      <c r="D53" s="6"/>
      <c r="E53" s="6"/>
      <c r="F53" s="19"/>
      <c r="G53" s="6"/>
      <c r="H53" s="64"/>
      <c r="I53" s="65"/>
      <c r="J53" s="13"/>
      <c r="K53" s="13"/>
      <c r="L53" s="60"/>
      <c r="M53" s="25"/>
      <c r="N53" s="14"/>
      <c r="O53" s="6"/>
      <c r="P53" s="62"/>
    </row>
    <row r="54" spans="1:16" ht="15.75" x14ac:dyDescent="0.25">
      <c r="A54" s="6"/>
      <c r="B54" s="6"/>
      <c r="C54" s="6"/>
      <c r="D54" s="6"/>
      <c r="E54" s="6"/>
      <c r="F54" s="19"/>
      <c r="G54" s="6"/>
      <c r="H54" s="64"/>
      <c r="I54" s="65"/>
      <c r="J54" s="13"/>
      <c r="K54" s="13"/>
      <c r="L54" s="60"/>
      <c r="M54" s="25"/>
      <c r="N54" s="14"/>
      <c r="O54" s="6"/>
      <c r="P54" s="62"/>
    </row>
    <row r="55" spans="1:16" ht="15.75" x14ac:dyDescent="0.25">
      <c r="A55" s="6"/>
      <c r="B55" s="6"/>
      <c r="C55" s="6"/>
      <c r="D55" s="6"/>
      <c r="E55" s="6"/>
      <c r="F55" s="19"/>
      <c r="G55" s="6"/>
      <c r="H55" s="64"/>
      <c r="I55" s="65"/>
      <c r="J55" s="13"/>
      <c r="K55" s="13"/>
      <c r="L55" s="60"/>
      <c r="M55" s="25"/>
      <c r="N55" s="14"/>
      <c r="O55" s="6"/>
      <c r="P55" s="62"/>
    </row>
    <row r="56" spans="1:16" ht="15.75" x14ac:dyDescent="0.25">
      <c r="A56" s="6"/>
      <c r="B56" s="6"/>
      <c r="C56" s="6"/>
      <c r="D56" s="6"/>
      <c r="E56" s="6"/>
      <c r="F56" s="19"/>
      <c r="G56" s="6"/>
      <c r="H56" s="64"/>
      <c r="I56" s="65"/>
      <c r="J56" s="13"/>
      <c r="K56" s="13"/>
      <c r="L56" s="60"/>
      <c r="M56" s="25"/>
      <c r="N56" s="14"/>
      <c r="O56" s="6"/>
      <c r="P56" s="62"/>
    </row>
    <row r="57" spans="1:16" ht="15.75" x14ac:dyDescent="0.25">
      <c r="A57" s="6"/>
      <c r="B57" s="6"/>
      <c r="C57" s="6"/>
      <c r="D57" s="6"/>
      <c r="E57" s="6"/>
      <c r="F57" s="19"/>
      <c r="G57" s="6"/>
      <c r="H57" s="64"/>
      <c r="I57" s="65"/>
      <c r="J57" s="13"/>
      <c r="K57" s="13"/>
      <c r="L57" s="60"/>
      <c r="M57" s="25"/>
      <c r="N57" s="14"/>
      <c r="O57" s="6"/>
      <c r="P57" s="62"/>
    </row>
    <row r="58" spans="1:16" ht="15.75" x14ac:dyDescent="0.25">
      <c r="A58" s="6"/>
      <c r="B58" s="6"/>
      <c r="C58" s="6"/>
      <c r="D58" s="6"/>
      <c r="E58" s="6"/>
      <c r="F58" s="19"/>
      <c r="G58" s="6"/>
      <c r="H58" s="64"/>
      <c r="I58" s="65"/>
      <c r="J58" s="13"/>
      <c r="K58" s="13"/>
      <c r="L58" s="60"/>
      <c r="M58" s="25"/>
      <c r="N58" s="14"/>
      <c r="O58" s="6"/>
      <c r="P58" s="62"/>
    </row>
    <row r="59" spans="1:16" ht="15.75" x14ac:dyDescent="0.25">
      <c r="A59" s="6"/>
      <c r="B59" s="6"/>
      <c r="C59" s="6"/>
      <c r="D59" s="6"/>
      <c r="E59" s="6"/>
      <c r="F59" s="19"/>
      <c r="G59" s="6"/>
      <c r="H59" s="64"/>
      <c r="I59" s="65"/>
      <c r="J59" s="13"/>
      <c r="K59" s="13"/>
      <c r="L59" s="60"/>
      <c r="M59" s="25"/>
      <c r="N59" s="14"/>
      <c r="O59" s="6"/>
      <c r="P59" s="62"/>
    </row>
    <row r="60" spans="1:16" ht="15.75" x14ac:dyDescent="0.25">
      <c r="A60" s="6"/>
      <c r="B60" s="6"/>
      <c r="C60" s="6"/>
      <c r="D60" s="6"/>
      <c r="E60" s="6"/>
      <c r="F60" s="19"/>
      <c r="G60" s="6"/>
      <c r="H60" s="64"/>
      <c r="I60" s="65"/>
      <c r="J60" s="13"/>
      <c r="K60" s="13"/>
      <c r="L60" s="60"/>
      <c r="M60" s="25"/>
      <c r="N60" s="14"/>
      <c r="O60" s="6"/>
      <c r="P60" s="62"/>
    </row>
    <row r="61" spans="1:16" ht="15.75" x14ac:dyDescent="0.25">
      <c r="A61" s="6"/>
      <c r="B61" s="6"/>
      <c r="C61" s="6"/>
      <c r="D61" s="6"/>
      <c r="E61" s="6"/>
      <c r="F61" s="19"/>
      <c r="G61" s="6"/>
      <c r="H61" s="64"/>
      <c r="I61" s="65"/>
      <c r="J61" s="13"/>
      <c r="K61" s="13"/>
      <c r="L61" s="60"/>
      <c r="M61" s="25"/>
      <c r="N61" s="14"/>
      <c r="O61" s="6"/>
      <c r="P61" s="62"/>
    </row>
    <row r="62" spans="1:16" ht="15.75" x14ac:dyDescent="0.25">
      <c r="A62" s="6"/>
      <c r="B62" s="6"/>
      <c r="C62" s="6"/>
      <c r="D62" s="6"/>
      <c r="E62" s="6"/>
      <c r="F62" s="19"/>
      <c r="G62" s="6"/>
      <c r="H62" s="64"/>
      <c r="I62" s="65"/>
      <c r="J62" s="13"/>
      <c r="K62" s="13"/>
      <c r="L62" s="60"/>
      <c r="M62" s="25"/>
      <c r="N62" s="14"/>
      <c r="O62" s="6"/>
      <c r="P62" s="62"/>
    </row>
    <row r="63" spans="1:16" ht="15.75" x14ac:dyDescent="0.25">
      <c r="A63" s="6"/>
      <c r="B63" s="6"/>
      <c r="C63" s="6"/>
      <c r="D63" s="6"/>
      <c r="E63" s="6"/>
      <c r="F63" s="19"/>
      <c r="G63" s="6"/>
      <c r="H63" s="64"/>
      <c r="I63" s="65"/>
      <c r="J63" s="13"/>
      <c r="K63" s="13"/>
      <c r="L63" s="60"/>
      <c r="M63" s="25"/>
      <c r="N63" s="14"/>
      <c r="O63" s="6"/>
      <c r="P63" s="62"/>
    </row>
    <row r="64" spans="1:16" ht="15.75" x14ac:dyDescent="0.25">
      <c r="A64" s="6"/>
      <c r="B64" s="6"/>
      <c r="C64" s="6"/>
      <c r="D64" s="6"/>
      <c r="E64" s="6"/>
      <c r="F64" s="19"/>
      <c r="G64" s="6"/>
      <c r="H64" s="64"/>
      <c r="I64" s="65"/>
      <c r="J64" s="13"/>
      <c r="K64" s="13"/>
      <c r="L64" s="60"/>
      <c r="M64" s="25"/>
      <c r="N64" s="14"/>
      <c r="O64" s="6"/>
      <c r="P64" s="62"/>
    </row>
    <row r="65" spans="1:16" ht="15.75" x14ac:dyDescent="0.25">
      <c r="A65" s="6"/>
      <c r="B65" s="6"/>
      <c r="C65" s="6"/>
      <c r="D65" s="6"/>
      <c r="E65" s="6"/>
      <c r="F65" s="19"/>
      <c r="G65" s="6"/>
      <c r="H65" s="64"/>
      <c r="I65" s="65"/>
      <c r="J65" s="13"/>
      <c r="K65" s="13"/>
      <c r="L65" s="60"/>
      <c r="M65" s="25"/>
      <c r="N65" s="14"/>
      <c r="O65" s="6"/>
      <c r="P65" s="62"/>
    </row>
    <row r="66" spans="1:16" ht="15.75" x14ac:dyDescent="0.25">
      <c r="A66" s="6"/>
      <c r="B66" s="6"/>
      <c r="C66" s="6"/>
      <c r="D66" s="6"/>
      <c r="E66" s="6"/>
      <c r="F66" s="19"/>
      <c r="G66" s="6"/>
      <c r="H66" s="64"/>
      <c r="I66" s="65"/>
      <c r="J66" s="13"/>
      <c r="K66" s="13"/>
      <c r="L66" s="60"/>
      <c r="M66" s="25"/>
      <c r="N66" s="14"/>
      <c r="O66" s="6"/>
      <c r="P66" s="62"/>
    </row>
    <row r="67" spans="1:16" ht="15.75" x14ac:dyDescent="0.25">
      <c r="A67" s="6"/>
      <c r="B67" s="6"/>
      <c r="C67" s="6"/>
      <c r="D67" s="6"/>
      <c r="E67" s="6"/>
      <c r="F67" s="19"/>
      <c r="G67" s="6"/>
      <c r="H67" s="64"/>
      <c r="I67" s="65"/>
      <c r="J67" s="13"/>
      <c r="K67" s="13"/>
      <c r="L67" s="60"/>
      <c r="M67" s="25"/>
      <c r="N67" s="14"/>
      <c r="O67" s="6"/>
      <c r="P67" s="62"/>
    </row>
    <row r="68" spans="1:16" ht="15.75" x14ac:dyDescent="0.25">
      <c r="A68" s="6"/>
      <c r="B68" s="6"/>
      <c r="C68" s="6"/>
      <c r="D68" s="6"/>
      <c r="E68" s="6"/>
      <c r="F68" s="19"/>
      <c r="G68" s="6"/>
      <c r="H68" s="64"/>
      <c r="I68" s="65"/>
      <c r="J68" s="13"/>
      <c r="K68" s="13"/>
      <c r="L68" s="60"/>
      <c r="M68" s="25"/>
      <c r="N68" s="14"/>
      <c r="O68" s="6"/>
      <c r="P68" s="62"/>
    </row>
  </sheetData>
  <customSheetViews>
    <customSheetView guid="{0569136B-3B59-4622-A5A0-86B031190133}" state="hidden">
      <selection activeCell="F61" sqref="F61"/>
      <pageMargins left="0.7" right="0.7" top="0.75" bottom="0.75" header="0.3" footer="0.3"/>
    </customSheetView>
    <customSheetView guid="{D756B39F-0040-4C29-9A23-0D6EE33EF6FB}" state="hidden">
      <selection activeCell="F61" sqref="F61"/>
      <pageMargins left="0.7" right="0.7" top="0.75" bottom="0.75" header="0.3" footer="0.3"/>
    </customSheetView>
    <customSheetView guid="{B70FD742-4342-40D8-AE52-2B2E43FEFC45}" state="hidden">
      <selection activeCell="F61" sqref="F61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Sample Regression</vt:lpstr>
      <vt:lpstr>Calculator</vt:lpstr>
      <vt:lpstr>Final flows</vt:lpstr>
      <vt:lpstr>Rough Calculations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Shrivastava, Runal</dc:creator>
  <cp:lastModifiedBy>Shrivastava, Runal</cp:lastModifiedBy>
  <dcterms:created xsi:type="dcterms:W3CDTF">2023-10-18T15:04:38Z</dcterms:created>
  <dcterms:modified xsi:type="dcterms:W3CDTF">2023-12-15T14:20:09Z</dcterms:modified>
</cp:coreProperties>
</file>