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705" yWindow="-15" windowWidth="12510" windowHeight="6030" activeTab="1"/>
  </bookViews>
  <sheets>
    <sheet name="Runs Summary" sheetId="9" r:id="rId1"/>
    <sheet name="Run 1" sheetId="13" r:id="rId2"/>
  </sheets>
  <calcPr calcId="145621"/>
</workbook>
</file>

<file path=xl/calcChain.xml><?xml version="1.0" encoding="utf-8"?>
<calcChain xmlns="http://schemas.openxmlformats.org/spreadsheetml/2006/main">
  <c r="K22" i="13" l="1"/>
  <c r="K23" i="13"/>
  <c r="K24" i="13"/>
  <c r="I8" i="13" l="1"/>
  <c r="I9" i="13"/>
  <c r="I10" i="13"/>
  <c r="I11" i="13"/>
  <c r="G8" i="13"/>
  <c r="G9" i="13"/>
  <c r="G10" i="13"/>
  <c r="G11" i="13"/>
  <c r="K8" i="13" l="1"/>
  <c r="L8" i="13" s="1"/>
  <c r="K9" i="13"/>
  <c r="L9" i="13" s="1"/>
  <c r="K10" i="13"/>
  <c r="L10" i="13" s="1"/>
  <c r="K11" i="13"/>
  <c r="L11" i="13" s="1"/>
  <c r="I34" i="13" l="1"/>
  <c r="I35" i="13"/>
  <c r="I36" i="13"/>
  <c r="I32" i="13"/>
  <c r="I33" i="13"/>
  <c r="I29" i="13"/>
  <c r="I31" i="13"/>
  <c r="I30" i="13"/>
  <c r="G34" i="13"/>
  <c r="G35" i="13"/>
  <c r="G36" i="13"/>
  <c r="G32" i="13"/>
  <c r="G33" i="13"/>
  <c r="G29" i="13"/>
  <c r="G31" i="13"/>
  <c r="G30" i="13"/>
  <c r="L23" i="13"/>
  <c r="K20" i="13" l="1"/>
  <c r="L20" i="13" s="1"/>
  <c r="L24" i="13"/>
  <c r="L22" i="13"/>
  <c r="K30" i="13" l="1"/>
  <c r="L30" i="13" s="1"/>
  <c r="K34" i="13" l="1"/>
  <c r="L34" i="13" s="1"/>
  <c r="K35" i="13"/>
  <c r="L35" i="13" s="1"/>
  <c r="K36" i="13"/>
  <c r="L36" i="13" s="1"/>
  <c r="K32" i="13"/>
  <c r="L32" i="13" s="1"/>
  <c r="K33" i="13"/>
  <c r="L33" i="13" s="1"/>
  <c r="K29" i="13"/>
  <c r="L29" i="13" s="1"/>
  <c r="K31" i="13"/>
  <c r="L31" i="13" s="1"/>
  <c r="I4" i="9" l="1"/>
</calcChain>
</file>

<file path=xl/comments1.xml><?xml version="1.0" encoding="utf-8"?>
<comments xmlns="http://schemas.openxmlformats.org/spreadsheetml/2006/main">
  <authors>
    <author>Copps, Jennifer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[11/3] Copps:</t>
        </r>
        <r>
          <rPr>
            <sz val="9"/>
            <color indexed="81"/>
            <rFont val="Tahoma"/>
            <family val="2"/>
          </rPr>
          <t xml:space="preserve">
Per gage summary "Duplicated EMA Flows are greater than 5%. Need to Investigate"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[11/3] Copps:</t>
        </r>
        <r>
          <rPr>
            <sz val="9"/>
            <color indexed="81"/>
            <rFont val="Tahoma"/>
            <family val="2"/>
          </rPr>
          <t xml:space="preserve">
Per gage summary "Duplicated EMA Flows are greater than 5%. Need to Investigate"</t>
        </r>
      </text>
    </comment>
  </commentList>
</comments>
</file>

<file path=xl/sharedStrings.xml><?xml version="1.0" encoding="utf-8"?>
<sst xmlns="http://schemas.openxmlformats.org/spreadsheetml/2006/main" count="85" uniqueCount="65">
  <si>
    <t>CN</t>
  </si>
  <si>
    <t>Lower Limit</t>
  </si>
  <si>
    <t>Upper Limit</t>
  </si>
  <si>
    <t>2D Model Results</t>
  </si>
  <si>
    <t>Plan Name</t>
  </si>
  <si>
    <t>Regression Estimates</t>
  </si>
  <si>
    <t>Drainage Area (sq. mi)</t>
  </si>
  <si>
    <t>StreamStats Q 1% (cfs)</t>
  </si>
  <si>
    <t>Flow (cfs)</t>
  </si>
  <si>
    <t>Run Description</t>
  </si>
  <si>
    <t>Bulletin 17C Gage Estimates</t>
  </si>
  <si>
    <t>Gage Analysis 1%</t>
  </si>
  <si>
    <t>Connection Name</t>
  </si>
  <si>
    <t>FID</t>
  </si>
  <si>
    <t>Lookup</t>
  </si>
  <si>
    <t>Run</t>
  </si>
  <si>
    <t>Percent Volume Error</t>
  </si>
  <si>
    <t>Notes</t>
  </si>
  <si>
    <t>Comp Int</t>
  </si>
  <si>
    <t>Start Date</t>
  </si>
  <si>
    <t>End Date</t>
  </si>
  <si>
    <t>1.0_pct</t>
  </si>
  <si>
    <t>Plan</t>
  </si>
  <si>
    <t>L/H/O</t>
  </si>
  <si>
    <t>Amnt</t>
  </si>
  <si>
    <t>USGS link</t>
  </si>
  <si>
    <t>Gage No.</t>
  </si>
  <si>
    <t>Gage Name</t>
  </si>
  <si>
    <r>
      <t>Drainage Area (mi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</si>
  <si>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5 min</t>
  </si>
  <si>
    <t>Reference the Run description on each sheet using formula ='Run X'!D2</t>
  </si>
  <si>
    <t>RSE for limits bound</t>
  </si>
  <si>
    <t>Reference_Line_3</t>
  </si>
  <si>
    <t>Reference_Line_4</t>
  </si>
  <si>
    <t>Reference_Line_5</t>
  </si>
  <si>
    <t>Reference_Line_6</t>
  </si>
  <si>
    <t>Reference_Line_7</t>
  </si>
  <si>
    <t>Reference_Line_8</t>
  </si>
  <si>
    <t>Reference_Line_9</t>
  </si>
  <si>
    <t xml:space="preserve"> Locations descriptor</t>
  </si>
  <si>
    <t>Study Comparisons - InFRM Estimates</t>
  </si>
  <si>
    <t>Junction No.</t>
  </si>
  <si>
    <t>Junction Name</t>
  </si>
  <si>
    <t>Recommended flows</t>
  </si>
  <si>
    <t>Run Time (hrs)</t>
  </si>
  <si>
    <t>Sim Time (days)</t>
  </si>
  <si>
    <t>Reference_Line_10</t>
  </si>
  <si>
    <t>CN_Concho_J10</t>
  </si>
  <si>
    <t>Concho River at San Angelo, TX (USGS Gage 08136000)</t>
  </si>
  <si>
    <t>CN_Concho_J30</t>
  </si>
  <si>
    <t>Dry Lipan Creek below Ninemile Creek</t>
  </si>
  <si>
    <t>CN_Concho_J20</t>
  </si>
  <si>
    <t>Concho River above Crows Nest Creek</t>
  </si>
  <si>
    <t>CN_Concho_J40</t>
  </si>
  <si>
    <t>Concho River below Lipan Creek</t>
  </si>
  <si>
    <t>08132500</t>
  </si>
  <si>
    <t>08136000</t>
  </si>
  <si>
    <t>S Concho Rv at San Angelo, TX</t>
  </si>
  <si>
    <t>Concho Rv at San Angelo, TX</t>
  </si>
  <si>
    <t>J10 in Infrm</t>
  </si>
  <si>
    <t>The data is too old 1932 to 1954 and not reliable for the calibration</t>
  </si>
  <si>
    <t>USGS Order Statistics method was used to establish the upper and lower bounds. A systematic record length of 30 years, as indicated in Table 4-5 of EM 1110-2-1619, was presumed. The average percent change across all locations was calculated as -44% and +125%.</t>
  </si>
  <si>
    <t xml:space="preserve">Upper and lower limits for the regression equation estimates are calculated using the residual standard error (RSE) in log_10- units of cubic feet per second. The RSE for peak streamflow for the 1% annual exceedance probability frequency event is 0.3. </t>
  </si>
  <si>
    <t>Comments</t>
  </si>
  <si>
    <t>Annual chance peak flows at the gage locations were computed in accordance with the methodology outlined in USGS Bulletin 17C. To determine the 1% plus and minus chance events, an 84% confidence interval was employed.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</si>
</sst>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h]:mm:ss;@"/>
    <numFmt numFmtId="165" formatCode="[$-409]d\-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/>
        <bgColor theme="9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rgb="FF000000"/>
      </right>
      <top/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" fillId="3" borderId="4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41" applyNumberFormat="0" applyFill="0" applyAlignment="0" applyProtection="0"/>
    <xf numFmtId="0" fontId="14" fillId="0" borderId="42" applyNumberFormat="0" applyFill="0" applyAlignment="0" applyProtection="0"/>
    <xf numFmtId="0" fontId="15" fillId="0" borderId="4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44" applyNumberFormat="0" applyAlignment="0" applyProtection="0"/>
    <xf numFmtId="0" fontId="20" fillId="8" borderId="45" applyNumberFormat="0" applyAlignment="0" applyProtection="0"/>
    <xf numFmtId="0" fontId="21" fillId="8" borderId="44" applyNumberFormat="0" applyAlignment="0" applyProtection="0"/>
    <xf numFmtId="0" fontId="22" fillId="0" borderId="46" applyNumberFormat="0" applyFill="0" applyAlignment="0" applyProtection="0"/>
    <xf numFmtId="0" fontId="23" fillId="9" borderId="47" applyNumberFormat="0" applyAlignment="0" applyProtection="0"/>
    <xf numFmtId="0" fontId="6" fillId="0" borderId="0" applyNumberFormat="0" applyFill="0" applyBorder="0" applyAlignment="0" applyProtection="0"/>
    <xf numFmtId="0" fontId="1" fillId="3" borderId="40" applyNumberFormat="0" applyFont="0" applyAlignment="0" applyProtection="0"/>
    <xf numFmtId="0" fontId="24" fillId="0" borderId="0" applyNumberFormat="0" applyFill="0" applyBorder="0" applyAlignment="0" applyProtection="0"/>
    <xf numFmtId="0" fontId="2" fillId="0" borderId="48" applyNumberFormat="0" applyFill="0" applyAlignment="0" applyProtection="0"/>
    <xf numFmtId="0" fontId="1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0" fillId="33" borderId="0" applyNumberFormat="0" applyBorder="0" applyAlignment="0" applyProtection="0"/>
  </cellStyleXfs>
  <cellXfs count="126">
    <xf numFmtId="0" fontId="0" fillId="0" borderId="0" xfId="0"/>
    <xf numFmtId="0" fontId="0" fillId="0" borderId="0" xfId="0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3" xfId="0" applyNumberFormat="1" applyFon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3" fontId="0" fillId="0" borderId="14" xfId="0" applyNumberFormat="1" applyFill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3" fontId="1" fillId="0" borderId="11" xfId="1" applyNumberFormat="1" applyFon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26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6" xfId="0" applyNumberFormat="1" applyFont="1" applyBorder="1" applyAlignment="1">
      <alignment horizontal="center" vertical="center"/>
    </xf>
    <xf numFmtId="2" fontId="0" fillId="0" borderId="12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11" xfId="0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5" fontId="0" fillId="0" borderId="1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5" fontId="0" fillId="0" borderId="8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3" fontId="1" fillId="0" borderId="33" xfId="1" applyNumberFormat="1" applyFon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0" fillId="0" borderId="32" xfId="0" applyNumberFormat="1" applyFill="1" applyBorder="1" applyAlignment="1">
      <alignment horizontal="center" vertical="center"/>
    </xf>
    <xf numFmtId="3" fontId="0" fillId="0" borderId="33" xfId="1" applyNumberFormat="1" applyFont="1" applyFill="1" applyBorder="1" applyAlignment="1">
      <alignment horizontal="center" vertical="center"/>
    </xf>
    <xf numFmtId="3" fontId="0" fillId="0" borderId="31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3" fontId="0" fillId="0" borderId="34" xfId="0" applyNumberFormat="1" applyFill="1" applyBorder="1" applyAlignment="1">
      <alignment horizontal="center" vertical="center"/>
    </xf>
    <xf numFmtId="3" fontId="0" fillId="0" borderId="35" xfId="0" applyNumberFormat="1" applyFill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3" fontId="0" fillId="0" borderId="11" xfId="1" applyNumberFormat="1" applyFon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34" borderId="0" xfId="0" applyFont="1" applyFill="1" applyAlignment="1">
      <alignment horizontal="center"/>
    </xf>
    <xf numFmtId="0" fontId="0" fillId="34" borderId="49" xfId="0" applyFont="1" applyFill="1" applyBorder="1" applyAlignment="1">
      <alignment horizontal="center"/>
    </xf>
    <xf numFmtId="3" fontId="0" fillId="0" borderId="50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3" fontId="0" fillId="0" borderId="24" xfId="0" applyNumberFormat="1" applyFill="1" applyBorder="1" applyAlignment="1">
      <alignment horizontal="center" vertical="center"/>
    </xf>
    <xf numFmtId="3" fontId="0" fillId="0" borderId="20" xfId="0" applyNumberFormat="1" applyFill="1" applyBorder="1" applyAlignment="1">
      <alignment horizontal="center" vertical="center"/>
    </xf>
    <xf numFmtId="4" fontId="0" fillId="0" borderId="15" xfId="0" applyNumberFormat="1" applyFill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3" fillId="35" borderId="52" xfId="0" applyFont="1" applyFill="1" applyBorder="1" applyAlignment="1">
      <alignment horizontal="center" vertical="center"/>
    </xf>
    <xf numFmtId="0" fontId="0" fillId="34" borderId="0" xfId="0" applyFont="1" applyFill="1" applyAlignment="1">
      <alignment wrapText="1"/>
    </xf>
    <xf numFmtId="0" fontId="0" fillId="34" borderId="53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/>
    <cellStyle name="Normal 3" xfId="3"/>
    <cellStyle name="Note" xfId="19" builtinId="10" customBuiltin="1"/>
    <cellStyle name="Note 2" xfId="4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6">
    <dxf>
      <fill>
        <patternFill>
          <bgColor rgb="FFB482DA"/>
        </patternFill>
      </fill>
    </dxf>
    <dxf>
      <fill>
        <patternFill>
          <bgColor theme="5"/>
        </patternFill>
      </fill>
    </dxf>
    <dxf>
      <fill>
        <patternFill>
          <bgColor rgb="FFB482DA"/>
        </patternFill>
      </fill>
    </dxf>
    <dxf>
      <fill>
        <patternFill>
          <bgColor theme="5"/>
        </patternFill>
      </fill>
    </dxf>
    <dxf>
      <fill>
        <patternFill>
          <bgColor rgb="FFB482DA"/>
        </patternFill>
      </fill>
    </dxf>
    <dxf>
      <fill>
        <patternFill>
          <bgColor theme="5"/>
        </patternFill>
      </fill>
    </dxf>
    <dxf>
      <fill>
        <patternFill>
          <bgColor rgb="FFB482DA"/>
        </patternFill>
      </fill>
    </dxf>
    <dxf>
      <fill>
        <patternFill>
          <bgColor theme="5"/>
        </patternFill>
      </fill>
    </dxf>
    <dxf>
      <fill>
        <patternFill>
          <bgColor rgb="FFB482DA"/>
        </patternFill>
      </fill>
    </dxf>
    <dxf>
      <fill>
        <patternFill>
          <bgColor theme="5"/>
        </patternFill>
      </fill>
    </dxf>
    <dxf>
      <fill>
        <patternFill>
          <bgColor rgb="FFB482DA"/>
        </patternFill>
      </fill>
    </dxf>
    <dxf>
      <fill>
        <patternFill>
          <bgColor theme="5"/>
        </patternFill>
      </fill>
    </dxf>
    <dxf>
      <fill>
        <patternFill>
          <bgColor rgb="FFB482DA"/>
        </patternFill>
      </fill>
    </dxf>
    <dxf>
      <fill>
        <patternFill>
          <bgColor theme="5"/>
        </patternFill>
      </fill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[$-409]d\-mmm\-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[$-409]d\-mmm\-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[h]:mm:ss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482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1% Regression 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'Run 1'!$F$29:$F$37</c:f>
              <c:numCache>
                <c:formatCode>0.00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15</c:v>
                </c:pt>
                <c:pt idx="3">
                  <c:v>31</c:v>
                </c:pt>
                <c:pt idx="4">
                  <c:v>33</c:v>
                </c:pt>
                <c:pt idx="5">
                  <c:v>310</c:v>
                </c:pt>
                <c:pt idx="6">
                  <c:v>5700</c:v>
                </c:pt>
                <c:pt idx="7">
                  <c:v>6000</c:v>
                </c:pt>
              </c:numCache>
            </c:numRef>
          </c:xVal>
          <c:yVal>
            <c:numRef>
              <c:f>'Run 1'!$H$29:$H$37</c:f>
              <c:numCache>
                <c:formatCode>General</c:formatCode>
                <c:ptCount val="9"/>
                <c:pt idx="0">
                  <c:v>1174.73</c:v>
                </c:pt>
                <c:pt idx="1">
                  <c:v>1973.37</c:v>
                </c:pt>
                <c:pt idx="2">
                  <c:v>7197.81</c:v>
                </c:pt>
                <c:pt idx="3">
                  <c:v>9897.7999999999993</c:v>
                </c:pt>
                <c:pt idx="4">
                  <c:v>10593.32</c:v>
                </c:pt>
                <c:pt idx="5">
                  <c:v>42588.23</c:v>
                </c:pt>
                <c:pt idx="6">
                  <c:v>135289.17000000001</c:v>
                </c:pt>
                <c:pt idx="7">
                  <c:v>140430.97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18D-4884-A256-4ECD9B1ECB07}"/>
            </c:ext>
          </c:extLst>
        </c:ser>
        <c:ser>
          <c:idx val="1"/>
          <c:order val="1"/>
          <c:tx>
            <c:v>Regression Upper Limit</c:v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'Run 1'!$F$29:$F$37</c:f>
              <c:numCache>
                <c:formatCode>0.00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15</c:v>
                </c:pt>
                <c:pt idx="3">
                  <c:v>31</c:v>
                </c:pt>
                <c:pt idx="4">
                  <c:v>33</c:v>
                </c:pt>
                <c:pt idx="5">
                  <c:v>310</c:v>
                </c:pt>
                <c:pt idx="6">
                  <c:v>5700</c:v>
                </c:pt>
                <c:pt idx="7">
                  <c:v>6000</c:v>
                </c:pt>
              </c:numCache>
            </c:numRef>
          </c:xVal>
          <c:yVal>
            <c:numRef>
              <c:f>'Run 1'!$I$29:$I$37</c:f>
              <c:numCache>
                <c:formatCode>#,##0</c:formatCode>
                <c:ptCount val="9"/>
                <c:pt idx="0">
                  <c:v>2343.8944992633919</c:v>
                </c:pt>
                <c:pt idx="1">
                  <c:v>3937.390794490138</c:v>
                </c:pt>
                <c:pt idx="2">
                  <c:v>14361.519043306153</c:v>
                </c:pt>
                <c:pt idx="3">
                  <c:v>19748.707341098976</c:v>
                </c:pt>
                <c:pt idx="4">
                  <c:v>21136.452186406132</c:v>
                </c:pt>
                <c:pt idx="5">
                  <c:v>84974.690380227097</c:v>
                </c:pt>
                <c:pt idx="6">
                  <c:v>269937.38252441835</c:v>
                </c:pt>
                <c:pt idx="7">
                  <c:v>280196.62229552533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C18D-4884-A256-4ECD9B1ECB07}"/>
            </c:ext>
          </c:extLst>
        </c:ser>
        <c:ser>
          <c:idx val="2"/>
          <c:order val="2"/>
          <c:tx>
            <c:v>Regression Lower Limit</c:v>
          </c:tx>
          <c:spPr>
            <a:ln w="19050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'Run 1'!$F$29:$F$37</c:f>
              <c:numCache>
                <c:formatCode>0.00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15</c:v>
                </c:pt>
                <c:pt idx="3">
                  <c:v>31</c:v>
                </c:pt>
                <c:pt idx="4">
                  <c:v>33</c:v>
                </c:pt>
                <c:pt idx="5">
                  <c:v>310</c:v>
                </c:pt>
                <c:pt idx="6">
                  <c:v>5700</c:v>
                </c:pt>
                <c:pt idx="7">
                  <c:v>6000</c:v>
                </c:pt>
              </c:numCache>
            </c:numRef>
          </c:xVal>
          <c:yVal>
            <c:numRef>
              <c:f>'Run 1'!$G$29:$G$37</c:f>
              <c:numCache>
                <c:formatCode>#,##0</c:formatCode>
                <c:ptCount val="9"/>
                <c:pt idx="0">
                  <c:v>588.75967895896554</c:v>
                </c:pt>
                <c:pt idx="1">
                  <c:v>989.02785122305022</c:v>
                </c:pt>
                <c:pt idx="2">
                  <c:v>3607.4504820747165</c:v>
                </c:pt>
                <c:pt idx="3">
                  <c:v>4960.6510009960148</c:v>
                </c:pt>
                <c:pt idx="4">
                  <c:v>5309.2367457284554</c:v>
                </c:pt>
                <c:pt idx="5">
                  <c:v>21344.677178782007</c:v>
                </c:pt>
                <c:pt idx="6">
                  <c:v>67805.204852029754</c:v>
                </c:pt>
                <c:pt idx="7">
                  <c:v>70382.209369894466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C18D-4884-A256-4ECD9B1ECB07}"/>
            </c:ext>
          </c:extLst>
        </c:ser>
        <c:ser>
          <c:idx val="3"/>
          <c:order val="3"/>
          <c:tx>
            <c:v>2D Model Results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'Run 1'!$F$29:$F$37</c:f>
              <c:numCache>
                <c:formatCode>0.00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15</c:v>
                </c:pt>
                <c:pt idx="3">
                  <c:v>31</c:v>
                </c:pt>
                <c:pt idx="4">
                  <c:v>33</c:v>
                </c:pt>
                <c:pt idx="5">
                  <c:v>310</c:v>
                </c:pt>
                <c:pt idx="6">
                  <c:v>5700</c:v>
                </c:pt>
                <c:pt idx="7">
                  <c:v>6000</c:v>
                </c:pt>
              </c:numCache>
            </c:numRef>
          </c:xVal>
          <c:yVal>
            <c:numRef>
              <c:f>'Run 1'!$J$29:$J$37</c:f>
              <c:numCache>
                <c:formatCode>#,##0.00</c:formatCode>
                <c:ptCount val="9"/>
                <c:pt idx="0">
                  <c:v>1951</c:v>
                </c:pt>
                <c:pt idx="1">
                  <c:v>4581</c:v>
                </c:pt>
                <c:pt idx="2">
                  <c:v>12718</c:v>
                </c:pt>
                <c:pt idx="3">
                  <c:v>22006</c:v>
                </c:pt>
                <c:pt idx="4">
                  <c:v>18985</c:v>
                </c:pt>
                <c:pt idx="5">
                  <c:v>66812</c:v>
                </c:pt>
                <c:pt idx="6">
                  <c:v>70484</c:v>
                </c:pt>
                <c:pt idx="7">
                  <c:v>135026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18D-4884-A256-4ECD9B1EC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95104"/>
        <c:axId val="140497280"/>
      </c:scatterChart>
      <c:valAx>
        <c:axId val="140495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97280"/>
        <c:crosses val="autoZero"/>
        <c:crossBetween val="midCat"/>
      </c:valAx>
      <c:valAx>
        <c:axId val="14049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95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1228724</xdr:colOff>
      <xdr:row>38</xdr:row>
      <xdr:rowOff>100011</xdr:rowOff>
    </xdr:from>
    <xdr:to>
      <xdr:col>7</xdr:col>
      <xdr:colOff>552449</xdr:colOff>
      <xdr:row>59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0417B23-1F51-435C-9AFF-0EC84F9D6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438150</xdr:colOff>
      <xdr:row>106</xdr:row>
      <xdr:rowOff>66675</xdr:rowOff>
    </xdr:from>
    <xdr:to>
      <xdr:col>21</xdr:col>
      <xdr:colOff>481982</xdr:colOff>
      <xdr:row>146</xdr:row>
      <xdr:rowOff>151437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40725" y="18707100"/>
          <a:ext cx="4952381" cy="770476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153</xdr:row>
      <xdr:rowOff>0</xdr:rowOff>
    </xdr:from>
    <xdr:to>
      <xdr:col>23</xdr:col>
      <xdr:colOff>534526</xdr:colOff>
      <xdr:row>174</xdr:row>
      <xdr:rowOff>56643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992975" y="27593925"/>
          <a:ext cx="7923809" cy="40571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Table5" displayName="Table5" ref="B3:J19" totalsRowShown="0" headerRowDxfId="65" tableBorderDxfId="64">
  <autoFilter ref="B3:J19"/>
  <tableColumns count="9">
    <tableColumn id="1" name="Run" dataDxfId="63"/>
    <tableColumn id="2" name="Plan" dataDxfId="62"/>
    <tableColumn id="3" name="Run Time (hrs)" dataDxfId="61"/>
    <tableColumn id="4" name="Percent Volume Error" dataDxfId="60"/>
    <tableColumn id="5" name="Comp Int" dataDxfId="59"/>
    <tableColumn id="6" name="Start Date" dataDxfId="58"/>
    <tableColumn id="7" name="End Date" dataDxfId="57"/>
    <tableColumn id="8" name="Sim Time (days)" dataDxfId="56"/>
    <tableColumn id="9" name="Notes" dataDxfId="55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4" name="Table85" displayName="Table85" ref="B18:M24" totalsRowShown="0" headerRowDxfId="54" dataDxfId="53">
  <autoFilter ref="B18:M24"/>
  <tableColumns count="12">
    <tableColumn id="1" name="USGS link" dataDxfId="52"/>
    <tableColumn id="12" name="FID" dataDxfId="51"/>
    <tableColumn id="2" name="Gage No." dataDxfId="50"/>
    <tableColumn id="10" name="Gage Name" dataDxfId="49"/>
    <tableColumn id="3" name="Drainage Area (mi2)" dataDxfId="48"/>
    <tableColumn id="4" name="Lower Limit" dataDxfId="47"/>
    <tableColumn id="5" name="Gage Analysis 1%" dataDxfId="46"/>
    <tableColumn id="6" name="Upper Limit" dataDxfId="45"/>
    <tableColumn id="7" name="Flow (cfs)" dataDxfId="44">
      <calculatedColumnFormula>LOOKUP(Table85[[#This Row],[FID]],#REF!,#REF!)</calculatedColumnFormula>
    </tableColumn>
    <tableColumn id="8" name="L/H/O" dataDxfId="43">
      <calculatedColumnFormula>IF(Table85[[#This Row],[Flow (cfs)]]&lt;G19, "LOW", IF(Table85[[#This Row],[Flow (cfs)]]&gt;I19, "HIGH", "OK"))</calculatedColumnFormula>
    </tableColumn>
    <tableColumn id="11" name="Amnt" dataDxfId="42">
      <calculatedColumnFormula>IF(Table85[[#This Row],[L/H/O]]="LOW",Table85[[#This Row],[Lower Limit]]-Table85[[#This Row],[Flow (cfs)]], IF(Table85[[#This Row],[L/H/O]]="HIGH", Table85[[#This Row],[Flow (cfs)]]-Table85[[#This Row],[Upper Limit]], IF(Table85[[#This Row],[L/H/O]]="OK", "", "ERROR")))</calculatedColumnFormula>
    </tableColumn>
    <tableColumn id="9" name="Comments" dataDxfId="41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id="3" name="Table224" displayName="Table224" ref="C28:M36" totalsRowShown="0" headerRowDxfId="40" dataDxfId="38" headerRowBorderDxfId="39" tableBorderDxfId="37" totalsRowBorderDxfId="36">
  <autoFilter ref="C28:M36"/>
  <sortState ref="C29:L36">
    <sortCondition ref="F28:F36"/>
  </sortState>
  <tableColumns count="11">
    <tableColumn id="1" name="FID" dataDxfId="35"/>
    <tableColumn id="9" name="Connection Name" dataDxfId="34"/>
    <tableColumn id="2" name=" Locations descriptor" dataDxfId="33"/>
    <tableColumn id="3" name="Drainage Area (sq. mi)" dataDxfId="32"/>
    <tableColumn id="4" name="Lower Limit" dataDxfId="31">
      <calculatedColumnFormula>Table224[[#This Row],[StreamStats Q 1% (cfs)]]*10^(-$B$4)</calculatedColumnFormula>
    </tableColumn>
    <tableColumn id="5" name="StreamStats Q 1% (cfs)" dataDxfId="30"/>
    <tableColumn id="6" name="Upper Limit" dataDxfId="29">
      <calculatedColumnFormula>Table224[[#This Row],[StreamStats Q 1% (cfs)]]*10^($B$4)</calculatedColumnFormula>
    </tableColumn>
    <tableColumn id="7" name="Flow (cfs)" dataDxfId="28">
      <calculatedColumnFormula>LOOKUP(Table224[[#This Row],[FID]],#REF!,#REF!)</calculatedColumnFormula>
    </tableColumn>
    <tableColumn id="10" name="L/H/O" dataDxfId="27">
      <calculatedColumnFormula>IF(Table224[[#This Row],[Flow (cfs)]]&lt;#REF!, "LOW", IF(Table224[[#This Row],[Flow (cfs)]]&gt;#REF!, "HIGH", "OK"))</calculatedColumnFormula>
    </tableColumn>
    <tableColumn id="11" name="Amnt" dataDxfId="26">
      <calculatedColumnFormula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calculatedColumnFormula>
    </tableColumn>
    <tableColumn id="8" name="Comments" dataDxfId="25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id="6" name="Table857" displayName="Table857" ref="C7:M13" totalsRowShown="0" tableBorderDxfId="24">
  <autoFilter ref="C7:M13"/>
  <tableColumns count="11">
    <tableColumn id="1" name="FID" dataDxfId="23"/>
    <tableColumn id="12" name="Junction No." dataDxfId="22"/>
    <tableColumn id="2" name="Junction Name" dataDxfId="21"/>
    <tableColumn id="10" name="Drainage Area (mi2)" dataDxfId="20"/>
    <tableColumn id="3" name="Lower Limit" dataDxfId="19">
      <calculatedColumnFormula>Table857[[#This Row],[Recommended flows]]*(1-44/100)</calculatedColumnFormula>
    </tableColumn>
    <tableColumn id="4" name="Recommended flows" dataDxfId="18"/>
    <tableColumn id="5" name="Upper Limit" dataDxfId="17">
      <calculatedColumnFormula>Table857[[#This Row],[Recommended flows]]*(1+125/100)</calculatedColumnFormula>
    </tableColumn>
    <tableColumn id="6" name="Flow (cfs)" dataDxfId="16"/>
    <tableColumn id="7" name="L/H/O" dataDxfId="15">
      <calculatedColumnFormula>IF(Table857[Flow (cfs)]&lt;G8, "LOW", IF(Table857[Flow (cfs)]&gt;I8, "HIGH", "OK"))</calculatedColumnFormula>
    </tableColumn>
    <tableColumn id="8" name="Amnt" dataDxfId="14">
      <calculatedColumnFormula>IF(Table857[L/H/O]="LOW",Table857[Lower Limit]-Table857[Flow (cfs)], IF(Table857[L/H/O]="HIGH", Table857[Flow (cfs)]-Table857[Upper Limit], IF(Table857[L/H/O]="OK", "", "ERROR")))</calculatedColumnFormula>
    </tableColumn>
    <tableColumn id="9" name="Comments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workbookViewId="0">
      <selection activeCell="E25" sqref="E25"/>
    </sheetView>
  </sheetViews>
  <sheetFormatPr defaultRowHeight="15" x14ac:dyDescent="0.25"/>
  <cols>
    <col min="1" max="1" width="17" style="3" bestFit="1" customWidth="1"/>
    <col min="2" max="2" width="10.140625" style="3" customWidth="1"/>
    <col min="3" max="3" width="23" style="3" customWidth="1"/>
    <col min="4" max="4" width="18.5703125" style="3" bestFit="1" customWidth="1"/>
    <col min="5" max="5" width="24.85546875" style="3" bestFit="1" customWidth="1"/>
    <col min="6" max="6" width="16.7109375" style="3" customWidth="1"/>
    <col min="7" max="7" width="15.5703125" style="3" customWidth="1"/>
    <col min="8" max="9" width="15" style="3" customWidth="1"/>
    <col min="10" max="10" width="65.28515625" style="3" bestFit="1" customWidth="1"/>
    <col min="11" max="16384" width="9.140625" style="3"/>
  </cols>
  <sheetData>
    <row r="3" spans="2:10" ht="15" customHeight="1" thickBot="1" x14ac:dyDescent="0.3">
      <c r="B3" s="57" t="s">
        <v>15</v>
      </c>
      <c r="C3" s="58" t="s">
        <v>22</v>
      </c>
      <c r="D3" s="59" t="s">
        <v>44</v>
      </c>
      <c r="E3" s="60" t="s">
        <v>16</v>
      </c>
      <c r="F3" s="58" t="s">
        <v>18</v>
      </c>
      <c r="G3" s="58" t="s">
        <v>19</v>
      </c>
      <c r="H3" s="58" t="s">
        <v>20</v>
      </c>
      <c r="I3" s="59" t="s">
        <v>45</v>
      </c>
      <c r="J3" s="61" t="s">
        <v>17</v>
      </c>
    </row>
    <row r="4" spans="2:10" ht="15.75" thickBot="1" x14ac:dyDescent="0.3">
      <c r="B4" s="53">
        <v>1</v>
      </c>
      <c r="C4" s="47"/>
      <c r="D4" s="48">
        <v>0</v>
      </c>
      <c r="E4" s="47"/>
      <c r="F4" s="47" t="s">
        <v>29</v>
      </c>
      <c r="G4" s="49">
        <v>401859</v>
      </c>
      <c r="H4" s="49">
        <v>401863</v>
      </c>
      <c r="I4" s="47">
        <f t="shared" ref="I4" si="0">H4-G4</f>
        <v>4</v>
      </c>
      <c r="J4" s="55" t="s">
        <v>30</v>
      </c>
    </row>
    <row r="5" spans="2:10" x14ac:dyDescent="0.25">
      <c r="B5" s="54">
        <v>2</v>
      </c>
      <c r="C5" s="50"/>
      <c r="D5" s="48"/>
      <c r="E5" s="50"/>
      <c r="F5" s="50"/>
      <c r="G5" s="52"/>
      <c r="H5" s="52"/>
      <c r="I5" s="50"/>
      <c r="J5" s="56"/>
    </row>
    <row r="6" spans="2:10" x14ac:dyDescent="0.25">
      <c r="B6" s="54">
        <v>3</v>
      </c>
      <c r="C6" s="50"/>
      <c r="D6" s="51"/>
      <c r="E6" s="50"/>
      <c r="F6" s="50"/>
      <c r="G6" s="52"/>
      <c r="H6" s="52"/>
      <c r="I6" s="50"/>
      <c r="J6" s="56"/>
    </row>
    <row r="7" spans="2:10" x14ac:dyDescent="0.25">
      <c r="B7" s="54">
        <v>4</v>
      </c>
      <c r="C7" s="50"/>
      <c r="D7" s="51"/>
      <c r="E7" s="50"/>
      <c r="F7" s="50"/>
      <c r="G7" s="52"/>
      <c r="H7" s="52"/>
      <c r="I7" s="50"/>
      <c r="J7" s="56"/>
    </row>
    <row r="8" spans="2:10" x14ac:dyDescent="0.25">
      <c r="B8" s="54">
        <v>5</v>
      </c>
      <c r="C8" s="50"/>
      <c r="D8" s="51"/>
      <c r="E8" s="50"/>
      <c r="F8" s="50"/>
      <c r="G8" s="52"/>
      <c r="H8" s="52"/>
      <c r="I8" s="50"/>
      <c r="J8" s="56"/>
    </row>
    <row r="9" spans="2:10" x14ac:dyDescent="0.25">
      <c r="B9" s="54">
        <v>6</v>
      </c>
      <c r="C9" s="50"/>
      <c r="D9" s="51"/>
      <c r="E9" s="50"/>
      <c r="F9" s="50"/>
      <c r="G9" s="52"/>
      <c r="H9" s="52"/>
      <c r="I9" s="50"/>
      <c r="J9" s="56"/>
    </row>
    <row r="10" spans="2:10" x14ac:dyDescent="0.25">
      <c r="B10" s="54">
        <v>7</v>
      </c>
      <c r="C10" s="50"/>
      <c r="D10" s="51"/>
      <c r="E10" s="50"/>
      <c r="F10" s="50"/>
      <c r="G10" s="52"/>
      <c r="H10" s="52"/>
      <c r="I10" s="50"/>
      <c r="J10" s="56"/>
    </row>
    <row r="11" spans="2:10" x14ac:dyDescent="0.25">
      <c r="B11" s="54">
        <v>8</v>
      </c>
      <c r="C11" s="50"/>
      <c r="D11" s="51"/>
      <c r="E11" s="50"/>
      <c r="F11" s="50"/>
      <c r="G11" s="52"/>
      <c r="H11" s="52"/>
      <c r="I11" s="50"/>
      <c r="J11" s="56"/>
    </row>
    <row r="12" spans="2:10" x14ac:dyDescent="0.25">
      <c r="B12" s="54">
        <v>9</v>
      </c>
      <c r="C12" s="50"/>
      <c r="D12" s="51"/>
      <c r="E12" s="50"/>
      <c r="F12" s="50"/>
      <c r="G12" s="52"/>
      <c r="H12" s="52"/>
      <c r="I12" s="50"/>
      <c r="J12" s="56"/>
    </row>
    <row r="13" spans="2:10" x14ac:dyDescent="0.25">
      <c r="B13" s="54">
        <v>10</v>
      </c>
      <c r="C13" s="50"/>
      <c r="D13" s="51"/>
      <c r="E13" s="50"/>
      <c r="F13" s="50"/>
      <c r="G13" s="52"/>
      <c r="H13" s="52"/>
      <c r="I13" s="50"/>
      <c r="J13" s="56"/>
    </row>
    <row r="14" spans="2:10" x14ac:dyDescent="0.25">
      <c r="B14" s="54">
        <v>11</v>
      </c>
      <c r="C14" s="50"/>
      <c r="D14" s="51"/>
      <c r="E14" s="50"/>
      <c r="F14" s="50"/>
      <c r="G14" s="52"/>
      <c r="H14" s="52"/>
      <c r="I14" s="50"/>
      <c r="J14" s="56"/>
    </row>
    <row r="15" spans="2:10" x14ac:dyDescent="0.25">
      <c r="B15" s="54">
        <v>12</v>
      </c>
      <c r="C15" s="50"/>
      <c r="D15" s="51"/>
      <c r="E15" s="50"/>
      <c r="F15" s="50"/>
      <c r="G15" s="52"/>
      <c r="H15" s="52"/>
      <c r="I15" s="50"/>
      <c r="J15" s="56"/>
    </row>
    <row r="16" spans="2:10" x14ac:dyDescent="0.25">
      <c r="B16" s="54">
        <v>13</v>
      </c>
      <c r="C16" s="50"/>
      <c r="D16" s="51"/>
      <c r="E16" s="50"/>
      <c r="F16" s="50"/>
      <c r="G16" s="52"/>
      <c r="H16" s="52"/>
      <c r="I16" s="50"/>
      <c r="J16" s="56"/>
    </row>
    <row r="17" spans="2:10" x14ac:dyDescent="0.25">
      <c r="B17" s="54">
        <v>14</v>
      </c>
      <c r="C17" s="50"/>
      <c r="D17" s="51"/>
      <c r="E17" s="50"/>
      <c r="F17" s="50"/>
      <c r="G17" s="52"/>
      <c r="H17" s="52"/>
      <c r="I17" s="50"/>
      <c r="J17" s="56"/>
    </row>
    <row r="18" spans="2:10" x14ac:dyDescent="0.25">
      <c r="B18" s="54">
        <v>15</v>
      </c>
      <c r="C18" s="50"/>
      <c r="D18" s="51"/>
      <c r="E18" s="50"/>
      <c r="F18" s="50"/>
      <c r="G18" s="52"/>
      <c r="H18" s="52"/>
      <c r="I18" s="50"/>
      <c r="J18" s="56"/>
    </row>
    <row r="19" spans="2:10" x14ac:dyDescent="0.25">
      <c r="B19" s="62">
        <v>16</v>
      </c>
      <c r="C19" s="63"/>
      <c r="D19" s="64"/>
      <c r="E19" s="63"/>
      <c r="F19" s="63"/>
      <c r="G19" s="65"/>
      <c r="H19" s="65"/>
      <c r="I19" s="63"/>
      <c r="J19" s="6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56"/>
  <sheetViews>
    <sheetView tabSelected="1" topLeftCell="D1" zoomScale="80" zoomScaleNormal="80" workbookViewId="0">
      <selection activeCell="P19" sqref="P19"/>
    </sheetView>
  </sheetViews>
  <sheetFormatPr defaultRowHeight="15" x14ac:dyDescent="0.25"/>
  <cols>
    <col min="1" max="1" width="18.28515625" bestFit="1" customWidth="1"/>
    <col min="2" max="2" width="15" customWidth="1"/>
    <col min="3" max="3" width="15.28515625" bestFit="1" customWidth="1"/>
    <col min="4" max="4" width="23.28515625" bestFit="1" customWidth="1"/>
    <col min="5" max="5" width="57.42578125" bestFit="1" customWidth="1"/>
    <col min="6" max="6" width="25.42578125" bestFit="1" customWidth="1"/>
    <col min="7" max="7" width="23.28515625" bestFit="1" customWidth="1"/>
    <col min="8" max="8" width="27.7109375" customWidth="1"/>
    <col min="9" max="9" width="16.42578125" bestFit="1" customWidth="1"/>
    <col min="10" max="10" width="14.28515625" bestFit="1" customWidth="1"/>
    <col min="11" max="11" width="17" bestFit="1" customWidth="1"/>
    <col min="12" max="12" width="18" customWidth="1"/>
    <col min="13" max="13" width="33.5703125" customWidth="1"/>
    <col min="14" max="14" width="57.7109375" customWidth="1"/>
    <col min="17" max="17" width="17" bestFit="1" customWidth="1"/>
    <col min="18" max="18" width="21.140625" bestFit="1" customWidth="1"/>
    <col min="19" max="19" width="20.85546875" bestFit="1" customWidth="1"/>
    <col min="20" max="20" width="11.28515625" bestFit="1" customWidth="1"/>
    <col min="21" max="21" width="21" bestFit="1" customWidth="1"/>
    <col min="22" max="22" width="11.28515625" bestFit="1" customWidth="1"/>
  </cols>
  <sheetData>
    <row r="2" spans="1:18" ht="15" customHeight="1" x14ac:dyDescent="0.25">
      <c r="A2" s="2" t="s">
        <v>4</v>
      </c>
      <c r="B2" s="44" t="s">
        <v>21</v>
      </c>
      <c r="C2" s="114" t="s">
        <v>9</v>
      </c>
      <c r="D2" s="117"/>
      <c r="E2" s="118"/>
      <c r="F2" s="118"/>
      <c r="G2" s="118"/>
      <c r="H2" s="118"/>
      <c r="I2" s="119"/>
    </row>
    <row r="3" spans="1:18" x14ac:dyDescent="0.25">
      <c r="A3" s="2" t="s">
        <v>0</v>
      </c>
      <c r="B3" s="45" t="s">
        <v>14</v>
      </c>
      <c r="C3" s="115"/>
      <c r="D3" s="120"/>
      <c r="E3" s="121"/>
      <c r="F3" s="121"/>
      <c r="G3" s="121"/>
      <c r="H3" s="121"/>
      <c r="I3" s="122"/>
    </row>
    <row r="4" spans="1:18" x14ac:dyDescent="0.25">
      <c r="A4" s="2" t="s">
        <v>31</v>
      </c>
      <c r="B4" s="44">
        <v>0.3</v>
      </c>
      <c r="C4" s="116"/>
      <c r="D4" s="123"/>
      <c r="E4" s="124"/>
      <c r="F4" s="124"/>
      <c r="G4" s="124"/>
      <c r="H4" s="124"/>
      <c r="I4" s="125"/>
    </row>
    <row r="5" spans="1:18" ht="15.75" thickBot="1" x14ac:dyDescent="0.3">
      <c r="A5" s="43"/>
      <c r="B5" s="67"/>
      <c r="C5" s="68"/>
      <c r="D5" s="46"/>
      <c r="E5" s="46"/>
      <c r="F5" s="46"/>
      <c r="G5" s="46"/>
      <c r="H5" s="46"/>
      <c r="I5" s="46"/>
    </row>
    <row r="6" spans="1:18" ht="15.75" thickBot="1" x14ac:dyDescent="0.3">
      <c r="A6" s="43"/>
      <c r="C6" s="106" t="s">
        <v>40</v>
      </c>
      <c r="D6" s="107"/>
      <c r="E6" s="107"/>
      <c r="F6" s="107"/>
      <c r="G6" s="107"/>
      <c r="H6" s="107"/>
      <c r="I6" s="108"/>
      <c r="J6" s="109" t="s">
        <v>3</v>
      </c>
      <c r="K6" s="107"/>
      <c r="L6" s="108"/>
    </row>
    <row r="7" spans="1:18" ht="18" thickBot="1" x14ac:dyDescent="0.3">
      <c r="B7" s="43"/>
      <c r="C7" s="80" t="s">
        <v>13</v>
      </c>
      <c r="D7" s="1" t="s">
        <v>41</v>
      </c>
      <c r="E7" s="1" t="s">
        <v>42</v>
      </c>
      <c r="F7" s="1" t="s">
        <v>28</v>
      </c>
      <c r="G7" s="1" t="s">
        <v>1</v>
      </c>
      <c r="H7" s="1" t="s">
        <v>43</v>
      </c>
      <c r="I7" s="35" t="s">
        <v>2</v>
      </c>
      <c r="J7" s="1" t="s">
        <v>8</v>
      </c>
      <c r="K7" s="1" t="s">
        <v>23</v>
      </c>
      <c r="L7" s="35" t="s">
        <v>24</v>
      </c>
      <c r="M7" s="3" t="s">
        <v>63</v>
      </c>
      <c r="N7" s="103" t="s">
        <v>17</v>
      </c>
    </row>
    <row r="8" spans="1:18" ht="75" x14ac:dyDescent="0.25">
      <c r="B8" s="43"/>
      <c r="C8" s="81"/>
      <c r="D8" s="91" t="s">
        <v>47</v>
      </c>
      <c r="E8" s="22" t="s">
        <v>48</v>
      </c>
      <c r="F8" s="39"/>
      <c r="G8" s="28">
        <f>Table857[[#This Row],[Recommended flows]]*(1-44/100)</f>
        <v>20272.000000000004</v>
      </c>
      <c r="H8" s="21">
        <v>36200</v>
      </c>
      <c r="I8" s="22">
        <f>Table857[[#This Row],[Recommended flows]]*(1+125/100)</f>
        <v>81450</v>
      </c>
      <c r="J8" s="25">
        <v>29457</v>
      </c>
      <c r="K8" s="42" t="str">
        <f>IF(Table857[Flow (cfs)]&lt;G8, "LOW", IF(Table857[Flow (cfs)]&gt;I8, "HIGH", "OK"))</f>
        <v>OK</v>
      </c>
      <c r="L8" s="39" t="str">
        <f>IF(Table857[L/H/O]="LOW",Table857[Lower Limit]-Table857[Flow (cfs)], IF(Table857[L/H/O]="HIGH", Table857[Flow (cfs)]-Table857[Upper Limit], IF(Table857[L/H/O]="OK", "", "ERROR")))</f>
        <v/>
      </c>
      <c r="N8" s="104" t="s">
        <v>61</v>
      </c>
      <c r="R8" s="3"/>
    </row>
    <row r="9" spans="1:18" x14ac:dyDescent="0.25">
      <c r="B9" s="43"/>
      <c r="C9" s="82"/>
      <c r="D9" s="31" t="s">
        <v>49</v>
      </c>
      <c r="E9" s="16" t="s">
        <v>50</v>
      </c>
      <c r="F9" s="19"/>
      <c r="G9" s="29">
        <f>Table857[[#This Row],[Recommended flows]]*(1-44/100)</f>
        <v>18312</v>
      </c>
      <c r="H9" s="15">
        <v>32700</v>
      </c>
      <c r="I9" s="16">
        <f>Table857[[#This Row],[Recommended flows]]*(1+125/100)</f>
        <v>73575</v>
      </c>
      <c r="J9" s="6">
        <v>31307</v>
      </c>
      <c r="K9" s="9" t="str">
        <f>IF(Table857[Flow (cfs)]&lt;G9, "LOW", IF(Table857[Flow (cfs)]&gt;I9, "HIGH", "OK"))</f>
        <v>OK</v>
      </c>
      <c r="L9" s="19" t="str">
        <f>IF(Table857[L/H/O]="LOW",Table857[Lower Limit]-Table857[Flow (cfs)], IF(Table857[L/H/O]="HIGH", Table857[Flow (cfs)]-Table857[Upper Limit], IF(Table857[L/H/O]="OK", "", "ERROR")))</f>
        <v/>
      </c>
      <c r="N9" s="3"/>
      <c r="P9" s="3"/>
    </row>
    <row r="10" spans="1:18" x14ac:dyDescent="0.25">
      <c r="B10" s="43"/>
      <c r="C10" s="82"/>
      <c r="D10" s="31" t="s">
        <v>51</v>
      </c>
      <c r="E10" s="16" t="s">
        <v>52</v>
      </c>
      <c r="F10" s="19"/>
      <c r="G10" s="29">
        <f>Table857[[#This Row],[Recommended flows]]*(1-44/100)</f>
        <v>33432</v>
      </c>
      <c r="H10" s="31">
        <v>59700</v>
      </c>
      <c r="I10" s="16">
        <f>Table857[[#This Row],[Recommended flows]]*(1+125/100)</f>
        <v>134325</v>
      </c>
      <c r="J10" s="6">
        <v>50536</v>
      </c>
      <c r="K10" s="9" t="str">
        <f>IF(Table857[Flow (cfs)]&lt;G10, "LOW", IF(Table857[Flow (cfs)]&gt;I10, "HIGH", "OK"))</f>
        <v>OK</v>
      </c>
      <c r="L10" s="19" t="str">
        <f>IF(Table857[L/H/O]="LOW",Table857[Lower Limit]-Table857[Flow (cfs)], IF(Table857[L/H/O]="HIGH", Table857[Flow (cfs)]-Table857[Upper Limit], IF(Table857[L/H/O]="OK", "", "ERROR")))</f>
        <v/>
      </c>
    </row>
    <row r="11" spans="1:18" x14ac:dyDescent="0.25">
      <c r="B11" s="43"/>
      <c r="C11" s="83"/>
      <c r="D11" s="31" t="s">
        <v>53</v>
      </c>
      <c r="E11" s="18" t="s">
        <v>54</v>
      </c>
      <c r="F11" s="20"/>
      <c r="G11" s="30">
        <f>Table857[[#This Row],[Recommended flows]]*(1-44/100)</f>
        <v>48440.000000000007</v>
      </c>
      <c r="H11" s="17">
        <v>86500</v>
      </c>
      <c r="I11" s="18">
        <f>Table857[[#This Row],[Recommended flows]]*(1+125/100)</f>
        <v>194625</v>
      </c>
      <c r="J11" s="6">
        <v>135008</v>
      </c>
      <c r="K11" s="9" t="str">
        <f>IF(Table857[Flow (cfs)]&lt;G11, "LOW", IF(Table857[Flow (cfs)]&gt;I11, "HIGH", "OK"))</f>
        <v>OK</v>
      </c>
      <c r="L11" s="20" t="str">
        <f>IF(Table857[L/H/O]="LOW",Table857[Lower Limit]-Table857[Flow (cfs)], IF(Table857[L/H/O]="HIGH", Table857[Flow (cfs)]-Table857[Upper Limit], IF(Table857[L/H/O]="OK", "", "ERROR")))</f>
        <v/>
      </c>
      <c r="N11" s="3"/>
      <c r="P11" s="3"/>
    </row>
    <row r="12" spans="1:18" x14ac:dyDescent="0.25">
      <c r="B12" s="43"/>
      <c r="C12" s="83"/>
      <c r="D12" s="17"/>
      <c r="E12" s="18"/>
      <c r="F12" s="29"/>
      <c r="G12" s="31"/>
      <c r="H12" s="16"/>
      <c r="I12" s="30"/>
      <c r="J12" s="9"/>
      <c r="K12" s="26"/>
      <c r="L12" s="29"/>
    </row>
    <row r="13" spans="1:18" x14ac:dyDescent="0.25">
      <c r="B13" s="43"/>
      <c r="C13" s="83"/>
      <c r="D13" s="17"/>
      <c r="E13" s="18"/>
      <c r="F13" s="29"/>
      <c r="G13" s="31"/>
      <c r="H13" s="16"/>
      <c r="I13" s="30"/>
      <c r="J13" s="9"/>
      <c r="K13" s="26"/>
      <c r="L13" s="29"/>
      <c r="N13" s="3"/>
      <c r="P13" s="3"/>
    </row>
    <row r="14" spans="1:18" x14ac:dyDescent="0.25">
      <c r="A14" s="43"/>
      <c r="B14" s="43"/>
      <c r="C14" s="70"/>
      <c r="D14" s="71"/>
      <c r="E14" s="72"/>
      <c r="F14" s="73"/>
      <c r="G14" s="74"/>
      <c r="H14" s="75"/>
      <c r="I14" s="76"/>
      <c r="J14" s="77"/>
      <c r="K14" s="78"/>
      <c r="L14" s="79"/>
    </row>
    <row r="15" spans="1:18" x14ac:dyDescent="0.25">
      <c r="A15" s="43"/>
      <c r="B15" s="43"/>
      <c r="C15" s="70"/>
      <c r="D15" s="71"/>
      <c r="E15" s="72"/>
      <c r="F15" s="73"/>
      <c r="G15" s="74"/>
      <c r="H15" s="75"/>
      <c r="I15" s="76"/>
      <c r="J15" s="77"/>
      <c r="K15" s="78"/>
      <c r="L15" s="79"/>
    </row>
    <row r="16" spans="1:18" ht="15.75" thickBot="1" x14ac:dyDescent="0.3">
      <c r="A16" s="43"/>
      <c r="B16" s="69"/>
      <c r="C16" s="70"/>
      <c r="D16" s="71"/>
      <c r="E16" s="72"/>
      <c r="F16" s="73"/>
      <c r="G16" s="74"/>
      <c r="H16" s="75"/>
      <c r="I16" s="76"/>
      <c r="J16" s="77"/>
      <c r="K16" s="78"/>
      <c r="L16" s="79"/>
    </row>
    <row r="17" spans="2:14" ht="15.75" thickBot="1" x14ac:dyDescent="0.3">
      <c r="C17" s="106" t="s">
        <v>10</v>
      </c>
      <c r="D17" s="107"/>
      <c r="E17" s="107"/>
      <c r="F17" s="107"/>
      <c r="G17" s="107"/>
      <c r="H17" s="107"/>
      <c r="I17" s="108"/>
      <c r="J17" s="109" t="s">
        <v>3</v>
      </c>
      <c r="K17" s="107"/>
      <c r="L17" s="108"/>
    </row>
    <row r="18" spans="2:14" s="3" customFormat="1" ht="18" thickBot="1" x14ac:dyDescent="0.3">
      <c r="B18" s="36" t="s">
        <v>25</v>
      </c>
      <c r="C18" s="12" t="s">
        <v>13</v>
      </c>
      <c r="D18" s="1" t="s">
        <v>26</v>
      </c>
      <c r="E18" s="1" t="s">
        <v>27</v>
      </c>
      <c r="F18" s="1" t="s">
        <v>28</v>
      </c>
      <c r="G18" s="1" t="s">
        <v>1</v>
      </c>
      <c r="H18" s="1" t="s">
        <v>11</v>
      </c>
      <c r="I18" s="35" t="s">
        <v>2</v>
      </c>
      <c r="J18" s="1" t="s">
        <v>8</v>
      </c>
      <c r="K18" s="1" t="s">
        <v>23</v>
      </c>
      <c r="L18" s="35" t="s">
        <v>24</v>
      </c>
      <c r="M18" s="3" t="s">
        <v>63</v>
      </c>
      <c r="N18" s="103" t="s">
        <v>17</v>
      </c>
    </row>
    <row r="19" spans="2:14" ht="60.75" thickBot="1" x14ac:dyDescent="0.3">
      <c r="B19" s="39"/>
      <c r="C19" s="28"/>
      <c r="D19" s="92" t="s">
        <v>55</v>
      </c>
      <c r="E19" s="22" t="s">
        <v>57</v>
      </c>
      <c r="F19" s="39"/>
      <c r="G19" s="94"/>
      <c r="H19" s="94"/>
      <c r="I19" s="94"/>
      <c r="J19" s="25"/>
      <c r="K19" s="41"/>
      <c r="L19" s="39"/>
      <c r="M19" s="102" t="s">
        <v>60</v>
      </c>
      <c r="N19" s="104" t="s">
        <v>64</v>
      </c>
    </row>
    <row r="20" spans="2:14" x14ac:dyDescent="0.25">
      <c r="B20" s="19"/>
      <c r="C20" s="29" t="s">
        <v>59</v>
      </c>
      <c r="D20" s="92" t="s">
        <v>56</v>
      </c>
      <c r="E20" s="22" t="s">
        <v>58</v>
      </c>
      <c r="F20" s="19">
        <v>5542</v>
      </c>
      <c r="G20" s="93">
        <v>12120</v>
      </c>
      <c r="H20" s="93">
        <v>16320</v>
      </c>
      <c r="I20" s="93">
        <v>25840</v>
      </c>
      <c r="J20" s="6">
        <v>29457</v>
      </c>
      <c r="K20" s="9" t="str">
        <f>IF(Table85[[#This Row],[Flow (cfs)]]&lt;G20, "LOW", IF(Table85[[#This Row],[Flow (cfs)]]&gt;I20, "HIGH", "OK"))</f>
        <v>HIGH</v>
      </c>
      <c r="L20" s="19">
        <f>IF(Table85[[#This Row],[L/H/O]]="LOW",Table85[[#This Row],[Lower Limit]]-Table85[[#This Row],[Flow (cfs)]], IF(Table85[[#This Row],[L/H/O]]="HIGH", Table85[[#This Row],[Flow (cfs)]]-Table85[[#This Row],[Upper Limit]], IF(Table85[[#This Row],[L/H/O]]="OK", "", "ERROR")))</f>
        <v>3617</v>
      </c>
      <c r="M20" s="3"/>
    </row>
    <row r="21" spans="2:14" x14ac:dyDescent="0.25">
      <c r="B21" s="19"/>
      <c r="C21" s="29"/>
      <c r="D21" s="92"/>
      <c r="E21" s="16"/>
      <c r="F21" s="19"/>
      <c r="G21" s="29"/>
      <c r="H21" s="31"/>
      <c r="I21" s="16"/>
      <c r="J21" s="6"/>
      <c r="K21" s="9"/>
      <c r="L21" s="19"/>
      <c r="M21" s="3"/>
    </row>
    <row r="22" spans="2:14" x14ac:dyDescent="0.25">
      <c r="B22" s="20"/>
      <c r="C22" s="30"/>
      <c r="D22" s="17"/>
      <c r="E22" s="18"/>
      <c r="F22" s="20"/>
      <c r="G22" s="30"/>
      <c r="H22" s="17"/>
      <c r="I22" s="18"/>
      <c r="J22" s="6"/>
      <c r="K22" s="9" t="str">
        <f>IF(Table85[[#This Row],[Flow (cfs)]]&lt;G22, "LOW", IF(Table85[[#This Row],[Flow (cfs)]]&gt;I22, "HIGH", "OK"))</f>
        <v>OK</v>
      </c>
      <c r="L22" s="20" t="str">
        <f>IF(Table85[[#This Row],[L/H/O]]="LOW",Table85[[#This Row],[Lower Limit]]-Table85[[#This Row],[Flow (cfs)]], IF(Table85[[#This Row],[L/H/O]]="HIGH", Table85[[#This Row],[Flow (cfs)]]-Table85[[#This Row],[Upper Limit]], IF(Table85[[#This Row],[L/H/O]]="OK", "", "ERROR")))</f>
        <v/>
      </c>
      <c r="M22" s="3"/>
    </row>
    <row r="23" spans="2:14" x14ac:dyDescent="0.25">
      <c r="B23" s="20"/>
      <c r="C23" s="30"/>
      <c r="D23" s="17"/>
      <c r="E23" s="18"/>
      <c r="F23" s="29"/>
      <c r="G23" s="31"/>
      <c r="H23" s="16"/>
      <c r="I23" s="30"/>
      <c r="J23" s="9"/>
      <c r="K23" s="26" t="str">
        <f>IF(Table85[[#This Row],[Flow (cfs)]]&lt;G23, "LOW", IF(Table85[[#This Row],[Flow (cfs)]]&gt;I23, "HIGH", "OK"))</f>
        <v>OK</v>
      </c>
      <c r="L23" s="29" t="str">
        <f>IF(Table85[[#This Row],[L/H/O]]="LOW",Table85[[#This Row],[Lower Limit]]-Table85[[#This Row],[Flow (cfs)]], IF(Table85[[#This Row],[L/H/O]]="HIGH", Table85[[#This Row],[Flow (cfs)]]-Table85[[#This Row],[Upper Limit]], IF(Table85[[#This Row],[L/H/O]]="OK", "", "ERROR")))</f>
        <v/>
      </c>
      <c r="M23" s="3"/>
    </row>
    <row r="24" spans="2:14" s="3" customFormat="1" x14ac:dyDescent="0.25">
      <c r="B24" s="20"/>
      <c r="C24" s="30"/>
      <c r="D24" s="17"/>
      <c r="E24" s="18"/>
      <c r="F24" s="29"/>
      <c r="G24" s="31"/>
      <c r="H24" s="16"/>
      <c r="I24" s="30"/>
      <c r="J24" s="9"/>
      <c r="K24" s="26" t="str">
        <f>IF(Table85[[#This Row],[Flow (cfs)]]&lt;G24, "LOW", IF(Table85[[#This Row],[Flow (cfs)]]&gt;I24, "HIGH", "OK"))</f>
        <v>OK</v>
      </c>
      <c r="L24" s="29" t="str">
        <f>IF(Table85[[#This Row],[L/H/O]]="LOW",Table85[[#This Row],[Lower Limit]]-Table85[[#This Row],[Flow (cfs)]], IF(Table85[[#This Row],[L/H/O]]="HIGH", Table85[[#This Row],[Flow (cfs)]]-Table85[[#This Row],[Upper Limit]], IF(Table85[[#This Row],[L/H/O]]="OK", "", "ERROR")))</f>
        <v/>
      </c>
    </row>
    <row r="25" spans="2:14" s="3" customFormat="1" x14ac:dyDescent="0.25">
      <c r="B25" s="13"/>
      <c r="C25" s="1"/>
      <c r="D25" s="1"/>
      <c r="E25" s="1"/>
      <c r="F25" s="1"/>
      <c r="G25" s="1"/>
      <c r="H25" s="1"/>
      <c r="I25" s="1"/>
      <c r="J25" s="1"/>
      <c r="K25" s="1"/>
      <c r="L25" s="11"/>
    </row>
    <row r="26" spans="2:14" ht="15.75" thickBot="1" x14ac:dyDescent="0.3"/>
    <row r="27" spans="2:14" ht="15.75" thickBot="1" x14ac:dyDescent="0.3">
      <c r="B27" s="3"/>
      <c r="C27" s="112" t="s">
        <v>5</v>
      </c>
      <c r="D27" s="111"/>
      <c r="E27" s="111"/>
      <c r="F27" s="111"/>
      <c r="G27" s="111"/>
      <c r="H27" s="111"/>
      <c r="I27" s="113"/>
      <c r="J27" s="110" t="s">
        <v>3</v>
      </c>
      <c r="K27" s="111"/>
      <c r="L27" s="109"/>
    </row>
    <row r="28" spans="2:14" ht="15.75" thickBot="1" x14ac:dyDescent="0.3">
      <c r="B28" s="3"/>
      <c r="C28" s="84" t="s">
        <v>13</v>
      </c>
      <c r="D28" s="85" t="s">
        <v>12</v>
      </c>
      <c r="E28" s="86" t="s">
        <v>39</v>
      </c>
      <c r="F28" s="86" t="s">
        <v>6</v>
      </c>
      <c r="G28" s="87" t="s">
        <v>1</v>
      </c>
      <c r="H28" s="86" t="s">
        <v>7</v>
      </c>
      <c r="I28" s="88" t="s">
        <v>2</v>
      </c>
      <c r="J28" s="89" t="s">
        <v>8</v>
      </c>
      <c r="K28" s="90" t="s">
        <v>23</v>
      </c>
      <c r="L28" s="88" t="s">
        <v>24</v>
      </c>
      <c r="M28" s="100" t="s">
        <v>63</v>
      </c>
      <c r="N28" s="103" t="s">
        <v>17</v>
      </c>
    </row>
    <row r="29" spans="2:14" ht="78" customHeight="1" x14ac:dyDescent="0.25">
      <c r="C29" s="4">
        <v>8</v>
      </c>
      <c r="D29" s="24" t="s">
        <v>37</v>
      </c>
      <c r="E29" s="33"/>
      <c r="F29" s="96">
        <v>3</v>
      </c>
      <c r="G29" s="82">
        <f>Table224[[#This Row],[StreamStats Q 1% (cfs)]]*10^(-$B$4)</f>
        <v>588.75967895896554</v>
      </c>
      <c r="H29" s="33">
        <v>1174.73</v>
      </c>
      <c r="I29" s="16">
        <f>Table224[[#This Row],[StreamStats Q 1% (cfs)]]*10^($B$4)</f>
        <v>2343.8944992633919</v>
      </c>
      <c r="J29" s="6">
        <v>1951</v>
      </c>
      <c r="K29" s="9" t="str">
        <f>IF(Table224[[#This Row],[Flow (cfs)]]&lt;G29, "LOW", IF(Table224[[#This Row],[Flow (cfs)]]&gt;I29, "HIGH", "OK"))</f>
        <v>OK</v>
      </c>
      <c r="L29" s="26" t="str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/>
      </c>
      <c r="M29" s="102"/>
      <c r="N29" s="105" t="s">
        <v>62</v>
      </c>
    </row>
    <row r="30" spans="2:14" x14ac:dyDescent="0.25">
      <c r="C30" s="4">
        <v>10</v>
      </c>
      <c r="D30" s="24" t="s">
        <v>46</v>
      </c>
      <c r="E30" s="33"/>
      <c r="F30" s="96">
        <v>3</v>
      </c>
      <c r="G30" s="83">
        <f>Table224[[#This Row],[StreamStats Q 1% (cfs)]]*10^(-$B$4)</f>
        <v>989.02785122305022</v>
      </c>
      <c r="H30" s="33">
        <v>1973.37</v>
      </c>
      <c r="I30" s="18">
        <f>Table224[[#This Row],[StreamStats Q 1% (cfs)]]*10^($B$4)</f>
        <v>3937.390794490138</v>
      </c>
      <c r="J30" s="6">
        <v>4581</v>
      </c>
      <c r="K30" s="9" t="str">
        <f>IF(Table224[[#This Row],[Connection Name]]="", "", IF(Table224[[#This Row],[Flow (cfs)]]&lt;G30, "LOW", IF(Table224[[#This Row],[Flow (cfs)]]&gt;I30, "HIGH", "OK")))</f>
        <v>HIGH</v>
      </c>
      <c r="L30" s="26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>643.60920550986202</v>
      </c>
      <c r="M30" s="101"/>
    </row>
    <row r="31" spans="2:14" x14ac:dyDescent="0.25">
      <c r="C31" s="4">
        <v>9</v>
      </c>
      <c r="D31" s="24" t="s">
        <v>38</v>
      </c>
      <c r="E31" s="33"/>
      <c r="F31" s="96">
        <v>15</v>
      </c>
      <c r="G31" s="83">
        <f>Table224[[#This Row],[StreamStats Q 1% (cfs)]]*10^(-$B$4)</f>
        <v>3607.4504820747165</v>
      </c>
      <c r="H31" s="33">
        <v>7197.81</v>
      </c>
      <c r="I31" s="18">
        <f>Table224[[#This Row],[StreamStats Q 1% (cfs)]]*10^($B$4)</f>
        <v>14361.519043306153</v>
      </c>
      <c r="J31" s="6">
        <v>12718</v>
      </c>
      <c r="K31" s="9" t="str">
        <f>IF(Table224[[#This Row],[Flow (cfs)]]&lt;G31, "LOW", IF(Table224[[#This Row],[Flow (cfs)]]&gt;I31, "HIGH", "OK"))</f>
        <v>OK</v>
      </c>
      <c r="L31" s="26" t="str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/>
      </c>
      <c r="M31" s="101"/>
    </row>
    <row r="32" spans="2:14" x14ac:dyDescent="0.25">
      <c r="C32" s="4">
        <v>6</v>
      </c>
      <c r="D32" s="24" t="s">
        <v>35</v>
      </c>
      <c r="E32" s="33"/>
      <c r="F32" s="96">
        <v>31</v>
      </c>
      <c r="G32" s="82">
        <f>Table224[[#This Row],[StreamStats Q 1% (cfs)]]*10^(-$B$4)</f>
        <v>4960.6510009960148</v>
      </c>
      <c r="H32" s="33">
        <v>9897.7999999999993</v>
      </c>
      <c r="I32" s="16">
        <f>Table224[[#This Row],[StreamStats Q 1% (cfs)]]*10^($B$4)</f>
        <v>19748.707341098976</v>
      </c>
      <c r="J32" s="6">
        <v>22006</v>
      </c>
      <c r="K32" s="9" t="str">
        <f>IF(Table224[[#This Row],[Flow (cfs)]]&lt;G32, "LOW", IF(Table224[[#This Row],[Flow (cfs)]]&gt;I32, "HIGH", "OK"))</f>
        <v>HIGH</v>
      </c>
      <c r="L32" s="26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>2257.292658901024</v>
      </c>
      <c r="M32" s="101"/>
    </row>
    <row r="33" spans="3:22" x14ac:dyDescent="0.25">
      <c r="C33" s="4">
        <v>7</v>
      </c>
      <c r="D33" s="24" t="s">
        <v>36</v>
      </c>
      <c r="E33" s="32"/>
      <c r="F33" s="96">
        <v>33</v>
      </c>
      <c r="G33" s="83">
        <f>Table224[[#This Row],[StreamStats Q 1% (cfs)]]*10^(-$B$4)</f>
        <v>5309.2367457284554</v>
      </c>
      <c r="H33" s="32">
        <v>10593.32</v>
      </c>
      <c r="I33" s="18">
        <f>Table224[[#This Row],[StreamStats Q 1% (cfs)]]*10^($B$4)</f>
        <v>21136.452186406132</v>
      </c>
      <c r="J33" s="7">
        <v>18985</v>
      </c>
      <c r="K33" s="9" t="str">
        <f>IF(Table224[[#This Row],[Flow (cfs)]]&lt;G33, "LOW", IF(Table224[[#This Row],[Flow (cfs)]]&gt;I33, "HIGH", "OK"))</f>
        <v>OK</v>
      </c>
      <c r="L33" s="26" t="str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/>
      </c>
      <c r="M33" s="101"/>
    </row>
    <row r="34" spans="3:22" x14ac:dyDescent="0.25">
      <c r="C34" s="4">
        <v>3</v>
      </c>
      <c r="D34" s="24" t="s">
        <v>32</v>
      </c>
      <c r="E34" s="33"/>
      <c r="F34" s="96">
        <v>310</v>
      </c>
      <c r="G34" s="83">
        <f>Table224[[#This Row],[StreamStats Q 1% (cfs)]]*10^(-$B$4)</f>
        <v>21344.677178782007</v>
      </c>
      <c r="H34" s="33">
        <v>42588.23</v>
      </c>
      <c r="I34" s="18">
        <f>Table224[[#This Row],[StreamStats Q 1% (cfs)]]*10^($B$4)</f>
        <v>84974.690380227097</v>
      </c>
      <c r="J34" s="6">
        <v>66812</v>
      </c>
      <c r="K34" s="9" t="str">
        <f>IF(Table224[[#This Row],[Flow (cfs)]]&lt;G34, "LOW", IF(Table224[[#This Row],[Flow (cfs)]]&gt;I34, "HIGH", "OK"))</f>
        <v>OK</v>
      </c>
      <c r="L34" s="26" t="str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/>
      </c>
      <c r="M34" s="101"/>
    </row>
    <row r="35" spans="3:22" ht="15.75" thickBot="1" x14ac:dyDescent="0.3">
      <c r="C35" s="4">
        <v>4</v>
      </c>
      <c r="D35" s="24" t="s">
        <v>33</v>
      </c>
      <c r="E35" s="38"/>
      <c r="F35" s="96">
        <v>5700</v>
      </c>
      <c r="G35" s="95">
        <f>Table224[[#This Row],[StreamStats Q 1% (cfs)]]*10^(-$B$4)</f>
        <v>67805.204852029754</v>
      </c>
      <c r="H35" s="33">
        <v>135289.17000000001</v>
      </c>
      <c r="I35" s="37">
        <f>Table224[[#This Row],[StreamStats Q 1% (cfs)]]*10^($B$4)</f>
        <v>269937.38252441835</v>
      </c>
      <c r="J35" s="99">
        <v>70484</v>
      </c>
      <c r="K35" s="40" t="str">
        <f>IF(Table224[[#This Row],[Flow (cfs)]]&lt;G35, "LOW", IF(Table224[[#This Row],[Flow (cfs)]]&gt;I35, "HIGH", "OK"))</f>
        <v>OK</v>
      </c>
      <c r="L35" s="27" t="str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/>
      </c>
      <c r="M35" s="101"/>
    </row>
    <row r="36" spans="3:22" ht="15.75" thickBot="1" x14ac:dyDescent="0.3">
      <c r="C36" s="23">
        <v>5</v>
      </c>
      <c r="D36" s="24" t="s">
        <v>34</v>
      </c>
      <c r="E36" s="14"/>
      <c r="F36" s="96">
        <v>6000</v>
      </c>
      <c r="G36" s="97">
        <f>Table224[[#This Row],[StreamStats Q 1% (cfs)]]*10^(-$B$4)</f>
        <v>70382.209369894466</v>
      </c>
      <c r="H36" s="33">
        <v>140430.97</v>
      </c>
      <c r="I36" s="98">
        <f>Table224[[#This Row],[StreamStats Q 1% (cfs)]]*10^($B$4)</f>
        <v>280196.62229552533</v>
      </c>
      <c r="J36" s="8">
        <v>135026</v>
      </c>
      <c r="K36" s="5" t="str">
        <f>IF(Table224[[#This Row],[Flow (cfs)]]&lt;G36, "LOW", IF(Table224[[#This Row],[Flow (cfs)]]&gt;I36, "HIGH", "OK"))</f>
        <v>OK</v>
      </c>
      <c r="L36" s="10" t="str">
        <f>IF(Table224[[#This Row],[L/H/O]]="LOW", Table224[[#This Row],[Lower Limit]]-Table224[[#This Row],[Flow (cfs)]], IF(Table224[[#This Row],[L/H/O]]="HIGH", Table224[[#This Row],[Flow (cfs)]]-Table224[[#This Row],[Upper Limit]], IF(Table224[[#This Row],[L/H/O]]="OK", "", IF(Table224[[#This Row],[Flow (cfs)]]="", "", "ERROR"))))</f>
        <v/>
      </c>
      <c r="M36" s="101"/>
    </row>
    <row r="37" spans="3:22" x14ac:dyDescent="0.25">
      <c r="M37" s="34"/>
      <c r="N37" s="34"/>
      <c r="O37" s="34"/>
      <c r="P37" s="34"/>
      <c r="Q37" s="34"/>
    </row>
    <row r="38" spans="3:22" x14ac:dyDescent="0.25">
      <c r="P38" s="34"/>
      <c r="Q38" s="34"/>
      <c r="R38" s="34"/>
      <c r="S38" s="34"/>
      <c r="T38" s="34"/>
      <c r="U38" s="34"/>
      <c r="V38" s="34"/>
    </row>
    <row r="39" spans="3:22" x14ac:dyDescent="0.25">
      <c r="P39" s="34"/>
      <c r="Q39" s="34"/>
      <c r="R39" s="34"/>
      <c r="S39" s="34"/>
      <c r="T39" s="34"/>
      <c r="U39" s="34"/>
      <c r="V39" s="34"/>
    </row>
    <row r="40" spans="3:22" x14ac:dyDescent="0.25">
      <c r="P40" s="34"/>
      <c r="Q40" s="34"/>
      <c r="R40" s="34"/>
      <c r="S40" s="34"/>
      <c r="T40" s="34"/>
      <c r="U40" s="34"/>
      <c r="V40" s="34"/>
    </row>
    <row r="41" spans="3:22" x14ac:dyDescent="0.25">
      <c r="P41" s="34"/>
      <c r="Q41" s="34"/>
      <c r="R41" s="34"/>
      <c r="S41" s="34"/>
      <c r="T41" s="34"/>
      <c r="U41" s="34"/>
      <c r="V41" s="34"/>
    </row>
    <row r="42" spans="3:22" x14ac:dyDescent="0.25">
      <c r="P42" s="34"/>
      <c r="Q42" s="34"/>
      <c r="R42" s="34"/>
      <c r="S42" s="34"/>
      <c r="T42" s="34"/>
      <c r="U42" s="34"/>
      <c r="V42" s="34"/>
    </row>
    <row r="43" spans="3:22" x14ac:dyDescent="0.25">
      <c r="P43" s="34"/>
      <c r="Q43" s="34"/>
      <c r="R43" s="34"/>
      <c r="S43" s="34"/>
      <c r="T43" s="34"/>
      <c r="U43" s="34"/>
      <c r="V43" s="34"/>
    </row>
    <row r="44" spans="3:22" x14ac:dyDescent="0.25">
      <c r="P44" s="34"/>
      <c r="Q44" s="34"/>
      <c r="R44" s="34"/>
      <c r="S44" s="34"/>
      <c r="T44" s="34"/>
      <c r="U44" s="34"/>
      <c r="V44" s="34"/>
    </row>
    <row r="45" spans="3:22" x14ac:dyDescent="0.25">
      <c r="P45" s="34"/>
      <c r="Q45" s="34"/>
      <c r="R45" s="34"/>
      <c r="S45" s="34"/>
      <c r="T45" s="34"/>
      <c r="U45" s="34"/>
      <c r="V45" s="34"/>
    </row>
    <row r="46" spans="3:22" x14ac:dyDescent="0.25">
      <c r="P46" s="34"/>
      <c r="Q46" s="34"/>
      <c r="R46" s="34"/>
      <c r="S46" s="34"/>
      <c r="T46" s="34"/>
      <c r="U46" s="34"/>
      <c r="V46" s="34"/>
    </row>
    <row r="47" spans="3:22" x14ac:dyDescent="0.25">
      <c r="P47" s="34"/>
      <c r="Q47" s="34"/>
      <c r="R47" s="34"/>
      <c r="S47" s="34"/>
      <c r="T47" s="34"/>
      <c r="U47" s="34"/>
      <c r="V47" s="34"/>
    </row>
    <row r="48" spans="3:22" x14ac:dyDescent="0.25">
      <c r="P48" s="34"/>
      <c r="Q48" s="34"/>
      <c r="R48" s="34"/>
      <c r="S48" s="34"/>
      <c r="T48" s="34"/>
      <c r="U48" s="34"/>
      <c r="V48" s="34"/>
    </row>
    <row r="49" spans="16:22" x14ac:dyDescent="0.25">
      <c r="P49" s="34"/>
      <c r="Q49" s="34"/>
      <c r="R49" s="34"/>
      <c r="S49" s="34"/>
      <c r="T49" s="34"/>
      <c r="U49" s="34"/>
      <c r="V49" s="34"/>
    </row>
    <row r="50" spans="16:22" x14ac:dyDescent="0.25">
      <c r="P50" s="34"/>
      <c r="Q50" s="34"/>
      <c r="R50" s="34"/>
      <c r="S50" s="34"/>
      <c r="T50" s="34"/>
      <c r="U50" s="34"/>
      <c r="V50" s="34"/>
    </row>
    <row r="51" spans="16:22" x14ac:dyDescent="0.25">
      <c r="P51" s="34"/>
      <c r="Q51" s="34"/>
      <c r="R51" s="34"/>
      <c r="S51" s="34"/>
      <c r="T51" s="34"/>
      <c r="U51" s="34"/>
      <c r="V51" s="34"/>
    </row>
    <row r="52" spans="16:22" x14ac:dyDescent="0.25">
      <c r="P52" s="34"/>
      <c r="Q52" s="34"/>
      <c r="R52" s="34"/>
      <c r="S52" s="34"/>
      <c r="T52" s="34"/>
      <c r="U52" s="34"/>
      <c r="V52" s="34"/>
    </row>
    <row r="53" spans="16:22" x14ac:dyDescent="0.25">
      <c r="P53" s="34"/>
      <c r="Q53" s="34"/>
      <c r="R53" s="34"/>
      <c r="S53" s="34"/>
      <c r="T53" s="34"/>
      <c r="U53" s="34"/>
      <c r="V53" s="34"/>
    </row>
    <row r="54" spans="16:22" x14ac:dyDescent="0.25">
      <c r="P54" s="34"/>
      <c r="Q54" s="34"/>
      <c r="R54" s="34"/>
      <c r="S54" s="34"/>
      <c r="T54" s="34"/>
      <c r="U54" s="34"/>
      <c r="V54" s="34"/>
    </row>
    <row r="55" spans="16:22" x14ac:dyDescent="0.25">
      <c r="P55" s="34"/>
      <c r="Q55" s="34"/>
      <c r="R55" s="34"/>
      <c r="S55" s="34"/>
      <c r="T55" s="34"/>
      <c r="U55" s="34"/>
      <c r="V55" s="34"/>
    </row>
    <row r="56" spans="16:22" x14ac:dyDescent="0.25">
      <c r="P56" s="34"/>
      <c r="Q56" s="34"/>
      <c r="R56" s="34"/>
      <c r="S56" s="34"/>
      <c r="T56" s="34"/>
      <c r="U56" s="34"/>
      <c r="V56" s="34"/>
    </row>
  </sheetData>
  <mergeCells count="8">
    <mergeCell ref="C17:I17"/>
    <mergeCell ref="J17:L17"/>
    <mergeCell ref="J27:L27"/>
    <mergeCell ref="C27:I27"/>
    <mergeCell ref="C2:C4"/>
    <mergeCell ref="D2:I4"/>
    <mergeCell ref="C6:I6"/>
    <mergeCell ref="J6:L6"/>
  </mergeCells>
  <conditionalFormatting sqref="J14:J16 K12:K13 K29:K35">
    <cfRule type="cellIs" dxfId="13" priority="29" operator="equal">
      <formula>"HIGH"</formula>
    </cfRule>
    <cfRule type="cellIs" dxfId="12" priority="30" operator="equal">
      <formula>"Low"</formula>
    </cfRule>
  </conditionalFormatting>
  <conditionalFormatting sqref="K19:K22">
    <cfRule type="cellIs" dxfId="11" priority="16" operator="equal">
      <formula>"HIGH"</formula>
    </cfRule>
    <cfRule type="cellIs" dxfId="10" priority="17" operator="equal">
      <formula>"Low"</formula>
    </cfRule>
  </conditionalFormatting>
  <conditionalFormatting sqref="J23:J24">
    <cfRule type="cellIs" dxfId="9" priority="13" operator="equal">
      <formula>"HIGH"</formula>
    </cfRule>
    <cfRule type="cellIs" dxfId="8" priority="14" operator="equal">
      <formula>"Low"</formula>
    </cfRule>
  </conditionalFormatting>
  <conditionalFormatting sqref="K23:K24"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{FF5CD42B-B27F-4DDD-B9D9-C68176BA4085}</x14:id>
        </ext>
      </extLst>
    </cfRule>
  </conditionalFormatting>
  <conditionalFormatting sqref="L9:L11">
    <cfRule type="cellIs" dxfId="7" priority="11" operator="equal">
      <formula>"HIGH"</formula>
    </cfRule>
    <cfRule type="cellIs" dxfId="6" priority="12" operator="equal">
      <formula>"Low"</formula>
    </cfRule>
  </conditionalFormatting>
  <conditionalFormatting sqref="K14:K16 L12:L13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{3DB6FE24-3513-486A-8B47-B905CD01AEE5}</x14:id>
        </ext>
      </extLst>
    </cfRule>
  </conditionalFormatting>
  <conditionalFormatting sqref="J12:J13">
    <cfRule type="cellIs" dxfId="5" priority="6" operator="equal">
      <formula>"HIGH"</formula>
    </cfRule>
    <cfRule type="cellIs" dxfId="4" priority="7" operator="equal">
      <formula>"Low"</formula>
    </cfRule>
  </conditionalFormatting>
  <conditionalFormatting sqref="K9:K11">
    <cfRule type="cellIs" dxfId="3" priority="4" operator="equal">
      <formula>"HIGH"</formula>
    </cfRule>
    <cfRule type="cellIs" dxfId="2" priority="5" operator="equal">
      <formula>"Low"</formula>
    </cfRule>
  </conditionalFormatting>
  <conditionalFormatting sqref="K12:K13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{1BFAB64C-C0C9-4F48-8764-6BBB0C7A7605}</x14:id>
        </ext>
      </extLst>
    </cfRule>
  </conditionalFormatting>
  <conditionalFormatting sqref="K8">
    <cfRule type="cellIs" dxfId="1" priority="1" operator="equal">
      <formula>"HIGH"</formula>
    </cfRule>
    <cfRule type="cellIs" dxfId="0" priority="2" operator="equal">
      <formula>"Low"</formula>
    </cfRule>
  </conditionalFormatting>
  <conditionalFormatting sqref="L29:L35">
    <cfRule type="dataBar" priority="9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{726139FC-7550-4042-A815-483471892A9A}</x14:id>
        </ext>
      </extLst>
    </cfRule>
  </conditionalFormatting>
  <pageMargins left="0.7" right="0.7" top="0.75" bottom="0.75" header="0.3" footer="0.3"/>
  <pageSetup orientation="portrait" r:id="rId1"/>
  <drawing r:id="rId2"/>
  <legacyDrawing r:id="rId3"/>
  <tableParts count="3">
    <tablePart r:id="rId4"/>
    <tablePart r:id="rId5"/>
    <tablePart r:id="rId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5CD42B-B27F-4DDD-B9D9-C68176BA408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K23:K24</xm:sqref>
        </x14:conditionalFormatting>
        <x14:conditionalFormatting xmlns:xm="http://schemas.microsoft.com/office/excel/2006/main">
          <x14:cfRule type="dataBar" id="{3DB6FE24-3513-486A-8B47-B905CD01AEE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K14:K16 L12:L13</xm:sqref>
        </x14:conditionalFormatting>
        <x14:conditionalFormatting xmlns:xm="http://schemas.microsoft.com/office/excel/2006/main">
          <x14:cfRule type="dataBar" id="{1BFAB64C-C0C9-4F48-8764-6BBB0C7A760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726139FC-7550-4042-A815-483471892A9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L29:L35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Runs Summary</vt:lpstr>
      <vt:lpstr>Run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Hayden H.</dc:creator>
  <cp:lastModifiedBy>Pervaiz, Fahad</cp:lastModifiedBy>
  <dcterms:created xsi:type="dcterms:W3CDTF">2020-07-13T17:54:51Z</dcterms:created>
  <dcterms:modified xsi:type="dcterms:W3CDTF">2024-08-07T22:57:57Z</dcterms:modified>
</cp:coreProperties>
</file>